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s\EP LA VICTORIA\CD LA VICTORIA\"/>
    </mc:Choice>
  </mc:AlternateContent>
  <bookViews>
    <workbookView xWindow="0" yWindow="0" windowWidth="20490" windowHeight="7155" tabRatio="801" firstSheet="2" activeTab="2"/>
  </bookViews>
  <sheets>
    <sheet name="Cantidades de obra" sheetId="29" state="hidden" r:id="rId1"/>
    <sheet name="CRONOGRAMA" sheetId="30" state="hidden" r:id="rId2"/>
    <sheet name="Presupuesto" sheetId="6" r:id="rId3"/>
    <sheet name=" AIU OBRA CIVIL" sheetId="7" state="hidden" r:id="rId4"/>
    <sheet name="A.P.U" sheetId="5" state="hidden" r:id="rId5"/>
    <sheet name="Análisis Mano de Obra" sheetId="2" state="hidden" r:id="rId6"/>
    <sheet name="Valor Materiales" sheetId="4" state="hidden" r:id="rId7"/>
    <sheet name="resu Cnt" sheetId="16" state="hidden" r:id="rId8"/>
    <sheet name="Análisis Precios Básicos" sheetId="3" state="hidden" r:id="rId9"/>
    <sheet name="A.I.U sum" sheetId="26" state="hidden" r:id="rId10"/>
    <sheet name="Hoja13" sheetId="22" state="hidden" r:id="rId11"/>
    <sheet name="cant acued" sheetId="23" state="hidden" r:id="rId12"/>
    <sheet name="Cotas" sheetId="10" state="hidden" r:id="rId13"/>
    <sheet name="A Prestacional" sheetId="18" state="hidden" r:id="rId14"/>
    <sheet name="A Mano de Obra" sheetId="20" state="hidden" r:id="rId15"/>
    <sheet name="Hoja2" sheetId="28" state="hidden" r:id="rId16"/>
    <sheet name="A Precios Básicos" sheetId="21" state="hidden" r:id="rId17"/>
    <sheet name="Hoja1" sheetId="27" state="hidden" r:id="rId18"/>
  </sheets>
  <definedNames>
    <definedName name="_B104067" localSheetId="9">#REF!</definedName>
    <definedName name="_B104067" localSheetId="0">#REF!</definedName>
    <definedName name="_B104067" localSheetId="12">#REF!</definedName>
    <definedName name="_B104067" localSheetId="1">#REF!</definedName>
    <definedName name="_B104067">#REF!</definedName>
    <definedName name="_B93008" localSheetId="9">#REF!</definedName>
    <definedName name="_B93008" localSheetId="0">#REF!</definedName>
    <definedName name="_B93008" localSheetId="12">#REF!</definedName>
    <definedName name="_B93008" localSheetId="1">#REF!</definedName>
    <definedName name="_B93008">#REF!</definedName>
    <definedName name="_D128899" localSheetId="9">#REF!</definedName>
    <definedName name="_D128899" localSheetId="0">#REF!</definedName>
    <definedName name="_D128899" localSheetId="12">#REF!</definedName>
    <definedName name="_D128899" localSheetId="1">#REF!</definedName>
    <definedName name="_D128899">#REF!</definedName>
    <definedName name="_D77032" localSheetId="9">#REF!</definedName>
    <definedName name="_D77032" localSheetId="0">#REF!</definedName>
    <definedName name="_D77032" localSheetId="12">#REF!</definedName>
    <definedName name="_D77032" localSheetId="1">#REF!</definedName>
    <definedName name="_D77032">#REF!</definedName>
    <definedName name="_xlnm._FilterDatabase" localSheetId="0" hidden="1">'Cantidades de obra'!$A$4:$AP$44</definedName>
    <definedName name="_xlnm._FilterDatabase" localSheetId="2" hidden="1">Presupuesto!$A$4:$U$55</definedName>
    <definedName name="_xlnm.Print_Area" localSheetId="14">'A Mano de Obra'!$A$1:$E$165</definedName>
    <definedName name="_xlnm.Print_Area" localSheetId="4">A.P.U!$B$1:$L$515</definedName>
    <definedName name="_xlnm.Print_Area" localSheetId="5">'Análisis Mano de Obra'!$B$1:$F$165</definedName>
    <definedName name="_xlnm.Print_Area" localSheetId="0">'Cantidades de obra'!$A$1:$AP$104</definedName>
    <definedName name="_xlnm.Print_Area" localSheetId="1">CRONOGRAMA!$A$1:$AD$63</definedName>
    <definedName name="_xlnm.Print_Area" localSheetId="10">Hoja13!$B$1:$F$26</definedName>
    <definedName name="_xlnm.Print_Area" localSheetId="2">Presupuesto!$A$1:$N$71</definedName>
    <definedName name="_xlnm.Print_Area" localSheetId="7">'resu Cnt'!$A$1:$M$69</definedName>
    <definedName name="_xlnm.Print_Area" localSheetId="6">'Valor Materiales'!$B$1:$F$378</definedName>
    <definedName name="B10512." localSheetId="9">#REF!</definedName>
    <definedName name="B10512." localSheetId="0">#REF!</definedName>
    <definedName name="B10512." localSheetId="12">#REF!</definedName>
    <definedName name="B10512." localSheetId="1">#REF!</definedName>
    <definedName name="B10512.">#REF!</definedName>
    <definedName name="solver_adj" localSheetId="3" hidden="1">' AIU OBRA CIVIL'!$D$19</definedName>
    <definedName name="solver_adj" localSheetId="9" hidden="1">'A.I.U sum'!$G$50</definedName>
    <definedName name="solver_adj" localSheetId="1" hidden="1">CRONOGRAMA!$D$44</definedName>
    <definedName name="solver_adj" localSheetId="2" hidden="1">Presupuesto!$D$45</definedName>
    <definedName name="solver_cvg" localSheetId="3" hidden="1">0.0001</definedName>
    <definedName name="solver_cvg" localSheetId="9" hidden="1">0.0001</definedName>
    <definedName name="solver_cvg" localSheetId="1" hidden="1">0.0001</definedName>
    <definedName name="solver_cvg" localSheetId="2" hidden="1">0.0001</definedName>
    <definedName name="solver_drv" localSheetId="3" hidden="1">1</definedName>
    <definedName name="solver_drv" localSheetId="9" hidden="1">1</definedName>
    <definedName name="solver_drv" localSheetId="1" hidden="1">1</definedName>
    <definedName name="solver_drv" localSheetId="2" hidden="1">1</definedName>
    <definedName name="solver_est" localSheetId="3" hidden="1">1</definedName>
    <definedName name="solver_est" localSheetId="9" hidden="1">1</definedName>
    <definedName name="solver_est" localSheetId="1" hidden="1">1</definedName>
    <definedName name="solver_est" localSheetId="2" hidden="1">1</definedName>
    <definedName name="solver_itr" localSheetId="3" hidden="1">100</definedName>
    <definedName name="solver_itr" localSheetId="9" hidden="1">100</definedName>
    <definedName name="solver_itr" localSheetId="1" hidden="1">100</definedName>
    <definedName name="solver_itr" localSheetId="2" hidden="1">100</definedName>
    <definedName name="solver_lhs1" localSheetId="3" hidden="1">' AIU OBRA CIVIL'!$G$52</definedName>
    <definedName name="solver_lhs1" localSheetId="1" hidden="1">CRONOGRAMA!$H$63</definedName>
    <definedName name="solver_lhs1" localSheetId="2" hidden="1">Presupuesto!$J$71</definedName>
    <definedName name="solver_lhs2" localSheetId="1" hidden="1">CRONOGRAMA!#REF!</definedName>
    <definedName name="solver_lhs2" localSheetId="2" hidden="1">Presupuesto!#REF!</definedName>
    <definedName name="solver_lin" localSheetId="3" hidden="1">2</definedName>
    <definedName name="solver_lin" localSheetId="9" hidden="1">2</definedName>
    <definedName name="solver_lin" localSheetId="1" hidden="1">2</definedName>
    <definedName name="solver_lin" localSheetId="2" hidden="1">2</definedName>
    <definedName name="solver_neg" localSheetId="3" hidden="1">2</definedName>
    <definedName name="solver_neg" localSheetId="9" hidden="1">2</definedName>
    <definedName name="solver_neg" localSheetId="1" hidden="1">2</definedName>
    <definedName name="solver_neg" localSheetId="2" hidden="1">2</definedName>
    <definedName name="solver_num" localSheetId="3" hidden="1">1</definedName>
    <definedName name="solver_num" localSheetId="9" hidden="1">0</definedName>
    <definedName name="solver_num" localSheetId="1" hidden="1">1</definedName>
    <definedName name="solver_num" localSheetId="2" hidden="1">1</definedName>
    <definedName name="solver_nwt" localSheetId="3" hidden="1">1</definedName>
    <definedName name="solver_nwt" localSheetId="9" hidden="1">1</definedName>
    <definedName name="solver_nwt" localSheetId="1" hidden="1">1</definedName>
    <definedName name="solver_nwt" localSheetId="2" hidden="1">1</definedName>
    <definedName name="solver_opt" localSheetId="3" hidden="1">' AIU OBRA CIVIL'!$G$46</definedName>
    <definedName name="solver_opt" localSheetId="9" hidden="1">'A.I.U sum'!$G$50</definedName>
    <definedName name="solver_opt" localSheetId="1" hidden="1">CRONOGRAMA!$D$44</definedName>
    <definedName name="solver_opt" localSheetId="2" hidden="1">Presupuesto!$D$45</definedName>
    <definedName name="solver_pre" localSheetId="3" hidden="1">0.000001</definedName>
    <definedName name="solver_pre" localSheetId="9" hidden="1">0.000001</definedName>
    <definedName name="solver_pre" localSheetId="1" hidden="1">0.000001</definedName>
    <definedName name="solver_pre" localSheetId="2" hidden="1">0.000001</definedName>
    <definedName name="solver_rel1" localSheetId="3" hidden="1">2</definedName>
    <definedName name="solver_rel1" localSheetId="1" hidden="1">2</definedName>
    <definedName name="solver_rel1" localSheetId="2" hidden="1">2</definedName>
    <definedName name="solver_rel2" localSheetId="1" hidden="1">2</definedName>
    <definedName name="solver_rel2" localSheetId="2" hidden="1">2</definedName>
    <definedName name="solver_rhs1" localSheetId="3" hidden="1">0.33</definedName>
    <definedName name="solver_rhs1" localSheetId="1" hidden="1">1322071781</definedName>
    <definedName name="solver_rhs1" localSheetId="2" hidden="1">1322071781</definedName>
    <definedName name="solver_rhs2" localSheetId="1" hidden="1">CRONOGRAMA!#REF!</definedName>
    <definedName name="solver_rhs2" localSheetId="2" hidden="1">Presupuesto!#REF!</definedName>
    <definedName name="solver_scl" localSheetId="3" hidden="1">2</definedName>
    <definedName name="solver_scl" localSheetId="9" hidden="1">2</definedName>
    <definedName name="solver_scl" localSheetId="1" hidden="1">2</definedName>
    <definedName name="solver_scl" localSheetId="2" hidden="1">2</definedName>
    <definedName name="solver_sho" localSheetId="3" hidden="1">2</definedName>
    <definedName name="solver_sho" localSheetId="9" hidden="1">2</definedName>
    <definedName name="solver_sho" localSheetId="1" hidden="1">2</definedName>
    <definedName name="solver_sho" localSheetId="2" hidden="1">2</definedName>
    <definedName name="solver_tim" localSheetId="3" hidden="1">100</definedName>
    <definedName name="solver_tim" localSheetId="9" hidden="1">100</definedName>
    <definedName name="solver_tim" localSheetId="1" hidden="1">100</definedName>
    <definedName name="solver_tim" localSheetId="2" hidden="1">100</definedName>
    <definedName name="solver_tol" localSheetId="3" hidden="1">0.05</definedName>
    <definedName name="solver_tol" localSheetId="9" hidden="1">0.05</definedName>
    <definedName name="solver_tol" localSheetId="1" hidden="1">0.05</definedName>
    <definedName name="solver_tol" localSheetId="2" hidden="1">0.05</definedName>
    <definedName name="solver_typ" localSheetId="3" hidden="1">1</definedName>
    <definedName name="solver_typ" localSheetId="9" hidden="1">1</definedName>
    <definedName name="solver_typ" localSheetId="1" hidden="1">1</definedName>
    <definedName name="solver_typ" localSheetId="2" hidden="1">1</definedName>
    <definedName name="solver_val" localSheetId="3" hidden="1">0</definedName>
    <definedName name="solver_val" localSheetId="9" hidden="1">0</definedName>
    <definedName name="solver_val" localSheetId="1" hidden="1">0</definedName>
    <definedName name="solver_val" localSheetId="2" hidden="1">0</definedName>
  </definedNames>
  <calcPr calcId="152511"/>
</workbook>
</file>

<file path=xl/calcChain.xml><?xml version="1.0" encoding="utf-8"?>
<calcChain xmlns="http://schemas.openxmlformats.org/spreadsheetml/2006/main">
  <c r="C65" i="6" l="1"/>
  <c r="I49" i="6"/>
  <c r="H49" i="6"/>
  <c r="T69" i="6" l="1"/>
  <c r="T66" i="6"/>
  <c r="U66" i="6" s="1"/>
  <c r="O69" i="6"/>
  <c r="O70" i="6"/>
  <c r="T70" i="6" s="1"/>
  <c r="J69" i="6"/>
  <c r="G113" i="5" l="1"/>
  <c r="G112" i="5"/>
  <c r="G111" i="5"/>
  <c r="G110" i="5"/>
  <c r="G109" i="5"/>
  <c r="G108" i="5"/>
  <c r="S113" i="5"/>
  <c r="S112" i="5"/>
  <c r="S111" i="5"/>
  <c r="S110" i="5"/>
  <c r="S109" i="5"/>
  <c r="S108" i="5"/>
  <c r="R112" i="5"/>
  <c r="U112" i="5"/>
  <c r="W114" i="5"/>
  <c r="W106" i="5" s="1"/>
  <c r="B14" i="6" l="1"/>
  <c r="B15" i="30"/>
  <c r="J82" i="5"/>
  <c r="J83" i="5" s="1"/>
  <c r="H81" i="5"/>
  <c r="H80" i="5"/>
  <c r="K77" i="5"/>
  <c r="J77" i="5"/>
  <c r="I77" i="5"/>
  <c r="H79" i="5"/>
  <c r="AB57" i="30"/>
  <c r="AC57" i="30" s="1"/>
  <c r="AB56" i="30"/>
  <c r="AC56" i="30" s="1"/>
  <c r="C58" i="30"/>
  <c r="C57" i="30"/>
  <c r="J54" i="30"/>
  <c r="I54" i="30"/>
  <c r="J51" i="30"/>
  <c r="I51" i="30"/>
  <c r="K51" i="30" s="1"/>
  <c r="I48" i="30"/>
  <c r="K48" i="30" s="1"/>
  <c r="J43" i="30"/>
  <c r="I43" i="30"/>
  <c r="K43" i="30" s="1"/>
  <c r="J41" i="30"/>
  <c r="I41" i="30"/>
  <c r="K41" i="30" s="1"/>
  <c r="D35" i="30"/>
  <c r="D36" i="30" s="1"/>
  <c r="J32" i="30"/>
  <c r="I32" i="30"/>
  <c r="K32" i="30" s="1"/>
  <c r="J25" i="30"/>
  <c r="I25" i="30"/>
  <c r="K25" i="30" s="1"/>
  <c r="J23" i="30"/>
  <c r="I23" i="30"/>
  <c r="K23" i="30" s="1"/>
  <c r="C22" i="30"/>
  <c r="B22" i="30"/>
  <c r="J19" i="30"/>
  <c r="I19" i="30"/>
  <c r="K19" i="30" s="1"/>
  <c r="J16" i="30"/>
  <c r="I16" i="30"/>
  <c r="K16" i="30" s="1"/>
  <c r="C14" i="30"/>
  <c r="B14" i="30"/>
  <c r="J12" i="30"/>
  <c r="I12" i="30"/>
  <c r="K12" i="30" s="1"/>
  <c r="J7" i="30"/>
  <c r="I7" i="30"/>
  <c r="K7" i="30" s="1"/>
  <c r="H83" i="5" l="1"/>
  <c r="H77" i="5"/>
  <c r="F77" i="5" s="1"/>
  <c r="I58" i="30"/>
  <c r="J58" i="30"/>
  <c r="J57" i="30"/>
  <c r="I57" i="30"/>
  <c r="E308" i="4" l="1"/>
  <c r="E310" i="4"/>
  <c r="E312" i="4"/>
  <c r="E335" i="4"/>
  <c r="E333" i="4"/>
  <c r="E331" i="4"/>
  <c r="E329" i="4"/>
  <c r="E326" i="4"/>
  <c r="E323" i="4"/>
  <c r="E320" i="4"/>
  <c r="E318" i="4"/>
  <c r="E307" i="4"/>
  <c r="E306" i="4"/>
  <c r="E305" i="4"/>
  <c r="E304" i="4"/>
  <c r="G512" i="5"/>
  <c r="K513" i="5"/>
  <c r="K502" i="5" s="1"/>
  <c r="J511" i="5"/>
  <c r="J513" i="5" s="1"/>
  <c r="J502" i="5" s="1"/>
  <c r="H508" i="5"/>
  <c r="H506" i="5"/>
  <c r="H505" i="5"/>
  <c r="H504" i="5"/>
  <c r="H513" i="5" l="1"/>
  <c r="H502" i="5" s="1"/>
  <c r="C66" i="6"/>
  <c r="D36" i="6"/>
  <c r="D37" i="6" s="1"/>
  <c r="K257" i="5"/>
  <c r="D256" i="5"/>
  <c r="F255" i="5"/>
  <c r="I255" i="5" s="1"/>
  <c r="D255" i="5"/>
  <c r="F254" i="5"/>
  <c r="I254" i="5" s="1"/>
  <c r="D254" i="5"/>
  <c r="F253" i="5"/>
  <c r="I253" i="5" s="1"/>
  <c r="D253" i="5"/>
  <c r="D252" i="5"/>
  <c r="K250" i="5"/>
  <c r="K49" i="6"/>
  <c r="M49" i="6" s="1"/>
  <c r="D393" i="5"/>
  <c r="C53" i="29"/>
  <c r="C54" i="29"/>
  <c r="C55" i="29"/>
  <c r="C56" i="29"/>
  <c r="C57" i="29"/>
  <c r="C58" i="29"/>
  <c r="C59" i="29"/>
  <c r="D31" i="30" s="1"/>
  <c r="C60" i="29"/>
  <c r="C61" i="29"/>
  <c r="C62" i="29"/>
  <c r="C63" i="29"/>
  <c r="C64" i="29"/>
  <c r="C65" i="29"/>
  <c r="C66" i="29"/>
  <c r="C67" i="29"/>
  <c r="C68" i="29"/>
  <c r="C69" i="29"/>
  <c r="C70" i="29"/>
  <c r="C52" i="29"/>
  <c r="AJ13" i="29"/>
  <c r="AI13" i="29"/>
  <c r="D6" i="29"/>
  <c r="D7" i="29"/>
  <c r="D8" i="29"/>
  <c r="D9" i="29"/>
  <c r="X9" i="29" s="1"/>
  <c r="D10" i="29"/>
  <c r="X10" i="29" s="1"/>
  <c r="D11" i="29"/>
  <c r="X11" i="29" s="1"/>
  <c r="D12" i="29"/>
  <c r="X12" i="29" s="1"/>
  <c r="D13" i="29"/>
  <c r="X13" i="29" s="1"/>
  <c r="D14" i="29"/>
  <c r="X14" i="29" s="1"/>
  <c r="D15" i="29"/>
  <c r="D16" i="29"/>
  <c r="X16" i="29" s="1"/>
  <c r="D17" i="29"/>
  <c r="X17" i="29" s="1"/>
  <c r="D18" i="29"/>
  <c r="X18" i="29" s="1"/>
  <c r="D19" i="29"/>
  <c r="X19" i="29" s="1"/>
  <c r="D20" i="29"/>
  <c r="X20" i="29" s="1"/>
  <c r="D21" i="29"/>
  <c r="X21" i="29" s="1"/>
  <c r="D22" i="29"/>
  <c r="X22" i="29" s="1"/>
  <c r="D23" i="29"/>
  <c r="X23" i="29" s="1"/>
  <c r="D24" i="29"/>
  <c r="X24" i="29" s="1"/>
  <c r="D25" i="29"/>
  <c r="X25" i="29" s="1"/>
  <c r="D26" i="29"/>
  <c r="X26" i="29" s="1"/>
  <c r="D27" i="29"/>
  <c r="D28" i="29"/>
  <c r="D29" i="29"/>
  <c r="D30" i="29"/>
  <c r="X30" i="29" s="1"/>
  <c r="D31" i="29"/>
  <c r="X31" i="29" s="1"/>
  <c r="D32" i="29"/>
  <c r="X32" i="29" s="1"/>
  <c r="D33" i="29"/>
  <c r="X33" i="29" s="1"/>
  <c r="D34" i="29"/>
  <c r="X34" i="29" s="1"/>
  <c r="D35" i="29"/>
  <c r="X35" i="29" s="1"/>
  <c r="D36" i="29"/>
  <c r="X36" i="29" s="1"/>
  <c r="D37" i="29"/>
  <c r="X37" i="29" s="1"/>
  <c r="D38" i="29"/>
  <c r="X38" i="29" s="1"/>
  <c r="D39" i="29"/>
  <c r="X39" i="29" s="1"/>
  <c r="D40" i="29"/>
  <c r="X40" i="29" s="1"/>
  <c r="D41" i="29"/>
  <c r="X41" i="29" s="1"/>
  <c r="D42" i="29"/>
  <c r="X42" i="29" s="1"/>
  <c r="D43" i="29"/>
  <c r="X43" i="29" s="1"/>
  <c r="D44" i="29"/>
  <c r="X44" i="29" s="1"/>
  <c r="D5" i="29"/>
  <c r="X5" i="29" s="1"/>
  <c r="E48" i="29"/>
  <c r="D6" i="30" s="1"/>
  <c r="M40" i="29"/>
  <c r="AL25" i="29"/>
  <c r="AN25" i="29"/>
  <c r="F25" i="29"/>
  <c r="AA25" i="29" s="1"/>
  <c r="M25" i="29"/>
  <c r="M24" i="29"/>
  <c r="F24" i="29"/>
  <c r="Z24" i="29" s="1"/>
  <c r="AL24" i="29"/>
  <c r="AN24" i="29"/>
  <c r="J23" i="29"/>
  <c r="J24" i="29"/>
  <c r="J25" i="29"/>
  <c r="M23" i="29"/>
  <c r="AD23" i="29"/>
  <c r="AF23" i="29" s="1"/>
  <c r="AL23" i="29"/>
  <c r="AN23" i="29"/>
  <c r="F23" i="29"/>
  <c r="Z23" i="29" s="1"/>
  <c r="J22" i="29"/>
  <c r="M22" i="29"/>
  <c r="AL22" i="29"/>
  <c r="AN22" i="29"/>
  <c r="F22" i="29"/>
  <c r="AA22" i="29" s="1"/>
  <c r="AL20" i="29"/>
  <c r="AN20" i="29"/>
  <c r="AL21" i="29"/>
  <c r="AN21" i="29"/>
  <c r="AL26" i="29"/>
  <c r="AN26" i="29"/>
  <c r="AL40" i="29"/>
  <c r="AN40" i="29"/>
  <c r="AL41" i="29"/>
  <c r="AN41" i="29"/>
  <c r="AL42" i="29"/>
  <c r="AN42" i="29"/>
  <c r="AL43" i="29"/>
  <c r="AN43" i="29"/>
  <c r="AL44" i="29"/>
  <c r="AN44" i="29"/>
  <c r="AD26" i="29"/>
  <c r="AE26" i="29" s="1"/>
  <c r="AD30" i="29"/>
  <c r="AE30" i="29" s="1"/>
  <c r="AD31" i="29"/>
  <c r="AI31" i="29" s="1"/>
  <c r="AD32" i="29"/>
  <c r="AE32" i="29" s="1"/>
  <c r="AD33" i="29"/>
  <c r="AJ33" i="29" s="1"/>
  <c r="AD34" i="29"/>
  <c r="AE34" i="29" s="1"/>
  <c r="AD35" i="29"/>
  <c r="AI35" i="29" s="1"/>
  <c r="AD36" i="29"/>
  <c r="AE36" i="29" s="1"/>
  <c r="AD37" i="29"/>
  <c r="AJ37" i="29" s="1"/>
  <c r="AD38" i="29"/>
  <c r="AE38" i="29" s="1"/>
  <c r="AD39" i="29"/>
  <c r="AF39" i="29" s="1"/>
  <c r="AD40" i="29"/>
  <c r="AE40" i="29" s="1"/>
  <c r="AD41" i="29"/>
  <c r="AD42" i="29"/>
  <c r="AE42" i="29" s="1"/>
  <c r="AD43" i="29"/>
  <c r="AH43" i="29" s="1"/>
  <c r="AD44" i="29"/>
  <c r="AG44" i="29" s="1"/>
  <c r="M20" i="29"/>
  <c r="M21" i="29"/>
  <c r="M26" i="29"/>
  <c r="M30" i="29"/>
  <c r="M31" i="29"/>
  <c r="M32" i="29"/>
  <c r="M33" i="29"/>
  <c r="M34" i="29"/>
  <c r="M35" i="29"/>
  <c r="M36" i="29"/>
  <c r="M37" i="29"/>
  <c r="M38" i="29"/>
  <c r="M39" i="29"/>
  <c r="M41" i="29"/>
  <c r="M42" i="29"/>
  <c r="M43" i="29"/>
  <c r="M44" i="29"/>
  <c r="J20" i="29"/>
  <c r="J21" i="29"/>
  <c r="J26" i="29"/>
  <c r="J30" i="29"/>
  <c r="J31" i="29"/>
  <c r="J32" i="29"/>
  <c r="J33" i="29"/>
  <c r="J34" i="29"/>
  <c r="J35" i="29"/>
  <c r="J36" i="29"/>
  <c r="J37" i="29"/>
  <c r="J38" i="29"/>
  <c r="J39" i="29"/>
  <c r="J40" i="29"/>
  <c r="J41" i="29"/>
  <c r="J42" i="29"/>
  <c r="J43" i="29"/>
  <c r="J44" i="29"/>
  <c r="F20" i="29"/>
  <c r="Y20" i="29" s="1"/>
  <c r="F21" i="29"/>
  <c r="Z21" i="29" s="1"/>
  <c r="F26" i="29"/>
  <c r="Z26" i="29" s="1"/>
  <c r="F27" i="29"/>
  <c r="F28" i="29"/>
  <c r="F29" i="29"/>
  <c r="F30" i="29"/>
  <c r="Z30" i="29" s="1"/>
  <c r="F31" i="29"/>
  <c r="Y31" i="29" s="1"/>
  <c r="F32" i="29"/>
  <c r="Y32" i="29" s="1"/>
  <c r="F33" i="29"/>
  <c r="Z33" i="29" s="1"/>
  <c r="F34" i="29"/>
  <c r="Z34" i="29" s="1"/>
  <c r="F35" i="29"/>
  <c r="AA35" i="29" s="1"/>
  <c r="F36" i="29"/>
  <c r="AA36" i="29" s="1"/>
  <c r="F37" i="29"/>
  <c r="R37" i="29" s="1"/>
  <c r="F38" i="29"/>
  <c r="Z38" i="29" s="1"/>
  <c r="F39" i="29"/>
  <c r="Y39" i="29" s="1"/>
  <c r="F40" i="29"/>
  <c r="Y40" i="29" s="1"/>
  <c r="F41" i="29"/>
  <c r="Z41" i="29" s="1"/>
  <c r="F42" i="29"/>
  <c r="Z42" i="29" s="1"/>
  <c r="F43" i="29"/>
  <c r="F44" i="29"/>
  <c r="Z44" i="29" s="1"/>
  <c r="N23" i="29" l="1"/>
  <c r="U23" i="29" s="1"/>
  <c r="N25" i="29"/>
  <c r="U25" i="29" s="1"/>
  <c r="D28" i="6"/>
  <c r="D27" i="30"/>
  <c r="D29" i="6"/>
  <c r="D28" i="30"/>
  <c r="J62" i="30"/>
  <c r="I63" i="30"/>
  <c r="J63" i="30"/>
  <c r="D31" i="6"/>
  <c r="D30" i="30"/>
  <c r="D30" i="6"/>
  <c r="D29" i="30"/>
  <c r="AI23" i="29"/>
  <c r="AI39" i="29"/>
  <c r="AJ38" i="29"/>
  <c r="AJ23" i="29"/>
  <c r="AI26" i="29"/>
  <c r="AJ39" i="29"/>
  <c r="AJ26" i="29"/>
  <c r="N22" i="29"/>
  <c r="U22" i="29" s="1"/>
  <c r="AI36" i="29"/>
  <c r="AJ36" i="29"/>
  <c r="AI37" i="29"/>
  <c r="AI38" i="29"/>
  <c r="AJ35" i="29"/>
  <c r="AI34" i="29"/>
  <c r="AJ34" i="29"/>
  <c r="AI33" i="29"/>
  <c r="AI32" i="29"/>
  <c r="AJ32" i="29"/>
  <c r="AJ31" i="29"/>
  <c r="AI30" i="29"/>
  <c r="AJ30" i="29"/>
  <c r="AI44" i="29"/>
  <c r="AJ44" i="29"/>
  <c r="AI43" i="29"/>
  <c r="AJ43" i="29"/>
  <c r="AI42" i="29"/>
  <c r="AJ42" i="29"/>
  <c r="AJ41" i="29"/>
  <c r="AI41" i="29"/>
  <c r="AE55" i="29"/>
  <c r="AI40" i="29"/>
  <c r="AJ40" i="29"/>
  <c r="C71" i="29"/>
  <c r="I257" i="5"/>
  <c r="I250" i="5" s="1"/>
  <c r="Y24" i="29"/>
  <c r="X48" i="29"/>
  <c r="N92" i="29" s="1"/>
  <c r="AF37" i="29"/>
  <c r="AM22" i="29"/>
  <c r="AP22" i="29" s="1"/>
  <c r="AE37" i="29"/>
  <c r="Y42" i="29"/>
  <c r="AC42" i="29" s="1"/>
  <c r="Y26" i="29"/>
  <c r="AH41" i="29"/>
  <c r="AA44" i="29"/>
  <c r="AA26" i="29"/>
  <c r="Y22" i="29"/>
  <c r="AM25" i="29"/>
  <c r="AO25" i="29" s="1"/>
  <c r="AA30" i="29"/>
  <c r="AA33" i="29"/>
  <c r="AA37" i="29"/>
  <c r="AA34" i="29"/>
  <c r="Y30" i="29"/>
  <c r="AC30" i="29" s="1"/>
  <c r="AE41" i="29"/>
  <c r="AM44" i="29"/>
  <c r="AP44" i="29" s="1"/>
  <c r="AM42" i="29"/>
  <c r="AP42" i="29" s="1"/>
  <c r="AM26" i="29"/>
  <c r="AP26" i="29" s="1"/>
  <c r="AM23" i="29"/>
  <c r="AP23" i="29" s="1"/>
  <c r="N24" i="29"/>
  <c r="U24" i="29" s="1"/>
  <c r="Y38" i="29"/>
  <c r="Z22" i="29"/>
  <c r="AA38" i="29"/>
  <c r="Y34" i="29"/>
  <c r="AA21" i="29"/>
  <c r="AF36" i="29"/>
  <c r="S25" i="29"/>
  <c r="O25" i="29"/>
  <c r="O23" i="29"/>
  <c r="AE33" i="29"/>
  <c r="AF32" i="29"/>
  <c r="N21" i="29"/>
  <c r="S21" i="29" s="1"/>
  <c r="AF33" i="29"/>
  <c r="O22" i="29"/>
  <c r="AH23" i="29"/>
  <c r="R39" i="29"/>
  <c r="AA43" i="29"/>
  <c r="R44" i="29"/>
  <c r="R36" i="29"/>
  <c r="R20" i="29"/>
  <c r="R41" i="29"/>
  <c r="R33" i="29"/>
  <c r="Y44" i="29"/>
  <c r="Y43" i="29"/>
  <c r="Y41" i="29"/>
  <c r="Y37" i="29"/>
  <c r="Y36" i="29"/>
  <c r="Y35" i="29"/>
  <c r="Y33" i="29"/>
  <c r="Y21" i="29"/>
  <c r="Z20" i="29"/>
  <c r="AF44" i="29"/>
  <c r="AH40" i="29"/>
  <c r="AM41" i="29"/>
  <c r="AP41" i="29" s="1"/>
  <c r="R42" i="29"/>
  <c r="R38" i="29"/>
  <c r="R34" i="29"/>
  <c r="R30" i="29"/>
  <c r="R26" i="29"/>
  <c r="Z43" i="29"/>
  <c r="Z40" i="29"/>
  <c r="Z39" i="29"/>
  <c r="Z37" i="29"/>
  <c r="Z36" i="29"/>
  <c r="Z35" i="29"/>
  <c r="Z32" i="29"/>
  <c r="Z31" i="29"/>
  <c r="AA20" i="29"/>
  <c r="AH44" i="29"/>
  <c r="AM21" i="29"/>
  <c r="AP21" i="29" s="1"/>
  <c r="AG23" i="29"/>
  <c r="AA23" i="29"/>
  <c r="Y25" i="29"/>
  <c r="R35" i="29"/>
  <c r="R31" i="29"/>
  <c r="AA40" i="29"/>
  <c r="AA39" i="29"/>
  <c r="AA32" i="29"/>
  <c r="AA31" i="29"/>
  <c r="AM40" i="29"/>
  <c r="AP40" i="29" s="1"/>
  <c r="AM20" i="29"/>
  <c r="Z25" i="29"/>
  <c r="R32" i="29"/>
  <c r="AE44" i="29"/>
  <c r="AG40" i="29"/>
  <c r="AH26" i="29"/>
  <c r="AE23" i="29"/>
  <c r="Y23" i="29"/>
  <c r="AC23" i="29" s="1"/>
  <c r="AM43" i="29"/>
  <c r="AP43" i="29" s="1"/>
  <c r="AM24" i="29"/>
  <c r="N44" i="29"/>
  <c r="P44" i="29" s="1"/>
  <c r="Q44" i="29" s="1"/>
  <c r="N43" i="29"/>
  <c r="U43" i="29" s="1"/>
  <c r="AG43" i="29"/>
  <c r="N42" i="29"/>
  <c r="S42" i="29" s="1"/>
  <c r="AH42" i="29"/>
  <c r="N41" i="29"/>
  <c r="U41" i="29" s="1"/>
  <c r="AF41" i="29"/>
  <c r="N33" i="29"/>
  <c r="P33" i="29" s="1"/>
  <c r="Q33" i="29" s="1"/>
  <c r="N32" i="29"/>
  <c r="AA24" i="29"/>
  <c r="AO23" i="29"/>
  <c r="N20" i="29"/>
  <c r="U20" i="29" s="1"/>
  <c r="N40" i="29"/>
  <c r="AF40" i="29"/>
  <c r="N36" i="29"/>
  <c r="U36" i="29" s="1"/>
  <c r="N37" i="29"/>
  <c r="S37" i="29" s="1"/>
  <c r="N38" i="29"/>
  <c r="P38" i="29" s="1"/>
  <c r="Q38" i="29" s="1"/>
  <c r="N34" i="29"/>
  <c r="S34" i="29" s="1"/>
  <c r="N26" i="29"/>
  <c r="N35" i="29"/>
  <c r="P35" i="29" s="1"/>
  <c r="Q35" i="29" s="1"/>
  <c r="N31" i="29"/>
  <c r="U31" i="29" s="1"/>
  <c r="N30" i="29"/>
  <c r="P30" i="29" s="1"/>
  <c r="Q30" i="29" s="1"/>
  <c r="N39" i="29"/>
  <c r="P39" i="29" s="1"/>
  <c r="Q39" i="29" s="1"/>
  <c r="AE43" i="29"/>
  <c r="AF42" i="29"/>
  <c r="AE39" i="29"/>
  <c r="AF38" i="29"/>
  <c r="AE35" i="29"/>
  <c r="AF34" i="29"/>
  <c r="AE31" i="29"/>
  <c r="AF30" i="29"/>
  <c r="AF26" i="29"/>
  <c r="AF43" i="29"/>
  <c r="AF35" i="29"/>
  <c r="AF31" i="29"/>
  <c r="AG26" i="29"/>
  <c r="D44" i="7"/>
  <c r="D43" i="7"/>
  <c r="D40" i="7"/>
  <c r="D39" i="7"/>
  <c r="D38" i="7"/>
  <c r="D37" i="7"/>
  <c r="D35" i="7"/>
  <c r="D34" i="7"/>
  <c r="D17" i="7"/>
  <c r="D18" i="7"/>
  <c r="D19" i="7"/>
  <c r="D20" i="7"/>
  <c r="D21" i="7"/>
  <c r="D22" i="7"/>
  <c r="D16" i="7"/>
  <c r="E311" i="4"/>
  <c r="E309" i="4"/>
  <c r="K55" i="5"/>
  <c r="K49" i="5" s="1"/>
  <c r="E54" i="5"/>
  <c r="D54" i="5"/>
  <c r="F53" i="5"/>
  <c r="I53" i="5" s="1"/>
  <c r="E53" i="5"/>
  <c r="D53" i="5"/>
  <c r="E52" i="5"/>
  <c r="D52" i="5"/>
  <c r="E51" i="5"/>
  <c r="D51" i="5"/>
  <c r="D243" i="5"/>
  <c r="K247" i="5"/>
  <c r="D246" i="5"/>
  <c r="F245" i="5"/>
  <c r="I245" i="5" s="1"/>
  <c r="D245" i="5"/>
  <c r="F244" i="5"/>
  <c r="I244" i="5" s="1"/>
  <c r="D244" i="5"/>
  <c r="F243" i="5"/>
  <c r="I243" i="5" s="1"/>
  <c r="D242" i="5"/>
  <c r="K240" i="5"/>
  <c r="F15" i="29"/>
  <c r="AL15" i="29"/>
  <c r="AN15" i="29"/>
  <c r="F16" i="29"/>
  <c r="AA16" i="29" s="1"/>
  <c r="J16" i="29"/>
  <c r="M16" i="29"/>
  <c r="AD16" i="29"/>
  <c r="AL16" i="29"/>
  <c r="AN16" i="29"/>
  <c r="F17" i="29"/>
  <c r="R17" i="29" s="1"/>
  <c r="J17" i="29"/>
  <c r="M17" i="29"/>
  <c r="AL17" i="29"/>
  <c r="AN17" i="29"/>
  <c r="AD5" i="29"/>
  <c r="AD9" i="29"/>
  <c r="AD10" i="29"/>
  <c r="AD11" i="29"/>
  <c r="AD12" i="29"/>
  <c r="AD14" i="29"/>
  <c r="E308" i="5"/>
  <c r="D308" i="5"/>
  <c r="C308" i="5"/>
  <c r="AP25" i="29" l="1"/>
  <c r="AO22" i="29"/>
  <c r="S23" i="29"/>
  <c r="AB23" i="29" s="1"/>
  <c r="AO21" i="29"/>
  <c r="AC33" i="29"/>
  <c r="L102" i="29"/>
  <c r="D40" i="30" s="1"/>
  <c r="S22" i="29"/>
  <c r="AB22" i="29" s="1"/>
  <c r="I66" i="30"/>
  <c r="K63" i="30"/>
  <c r="I67" i="30"/>
  <c r="AJ14" i="29"/>
  <c r="AI14" i="29"/>
  <c r="AJ10" i="29"/>
  <c r="AI10" i="29"/>
  <c r="L101" i="29"/>
  <c r="D39" i="30" s="1"/>
  <c r="AJ11" i="29"/>
  <c r="AI11" i="29"/>
  <c r="AJ12" i="29"/>
  <c r="AI12" i="29"/>
  <c r="AH5" i="29"/>
  <c r="AG5" i="29"/>
  <c r="AI5" i="29"/>
  <c r="AJ5" i="29"/>
  <c r="AE16" i="29"/>
  <c r="AJ16" i="29"/>
  <c r="AI16" i="29"/>
  <c r="S44" i="29"/>
  <c r="L100" i="29"/>
  <c r="D38" i="30" s="1"/>
  <c r="AJ9" i="29"/>
  <c r="AI9" i="29"/>
  <c r="AC24" i="29"/>
  <c r="AC21" i="29"/>
  <c r="AC34" i="29"/>
  <c r="AO40" i="29"/>
  <c r="AC44" i="29"/>
  <c r="AE56" i="29"/>
  <c r="AO43" i="29"/>
  <c r="AB34" i="29"/>
  <c r="AB44" i="29"/>
  <c r="AO44" i="29"/>
  <c r="AB25" i="29"/>
  <c r="AC25" i="29"/>
  <c r="AC22" i="29"/>
  <c r="S36" i="29"/>
  <c r="AB36" i="29" s="1"/>
  <c r="AO26" i="29"/>
  <c r="AC39" i="29"/>
  <c r="AC26" i="29"/>
  <c r="AB21" i="29"/>
  <c r="AC41" i="29"/>
  <c r="O24" i="29"/>
  <c r="R24" i="29" s="1"/>
  <c r="AD48" i="29"/>
  <c r="S24" i="29"/>
  <c r="AB24" i="29" s="1"/>
  <c r="AC40" i="29"/>
  <c r="AC43" i="29"/>
  <c r="AO41" i="29"/>
  <c r="AC31" i="29"/>
  <c r="P22" i="29"/>
  <c r="Q22" i="29" s="1"/>
  <c r="R22" i="29"/>
  <c r="P25" i="29"/>
  <c r="Q25" i="29" s="1"/>
  <c r="R25" i="29"/>
  <c r="P23" i="29"/>
  <c r="Q23" i="29" s="1"/>
  <c r="R23" i="29"/>
  <c r="AC38" i="29"/>
  <c r="AB42" i="29"/>
  <c r="AC20" i="29"/>
  <c r="AC37" i="29"/>
  <c r="AO42" i="29"/>
  <c r="O43" i="29"/>
  <c r="U21" i="29"/>
  <c r="O21" i="29"/>
  <c r="U37" i="29"/>
  <c r="P37" i="29"/>
  <c r="Q37" i="29" s="1"/>
  <c r="AC35" i="29"/>
  <c r="P26" i="29"/>
  <c r="Q26" i="29" s="1"/>
  <c r="S26" i="29"/>
  <c r="AB26" i="29" s="1"/>
  <c r="U40" i="29"/>
  <c r="O40" i="29"/>
  <c r="R40" i="29" s="1"/>
  <c r="AP20" i="29"/>
  <c r="AO20" i="29"/>
  <c r="P32" i="29"/>
  <c r="Q32" i="29" s="1"/>
  <c r="S41" i="29"/>
  <c r="AB41" i="29" s="1"/>
  <c r="S32" i="29"/>
  <c r="AB32" i="29" s="1"/>
  <c r="P36" i="29"/>
  <c r="Q36" i="29" s="1"/>
  <c r="U34" i="29"/>
  <c r="AB37" i="29"/>
  <c r="P41" i="29"/>
  <c r="Q41" i="29" s="1"/>
  <c r="U44" i="29"/>
  <c r="AC36" i="29"/>
  <c r="AP24" i="29"/>
  <c r="AO24" i="29"/>
  <c r="S40" i="29"/>
  <c r="AB40" i="29" s="1"/>
  <c r="AC32" i="29"/>
  <c r="U39" i="29"/>
  <c r="S43" i="29"/>
  <c r="AB43" i="29" s="1"/>
  <c r="U42" i="29"/>
  <c r="P42" i="29"/>
  <c r="Q42" i="29" s="1"/>
  <c r="S35" i="29"/>
  <c r="AB35" i="29" s="1"/>
  <c r="U35" i="29"/>
  <c r="U33" i="29"/>
  <c r="S33" i="29"/>
  <c r="AB33" i="29" s="1"/>
  <c r="U32" i="29"/>
  <c r="P31" i="29"/>
  <c r="Q31" i="29" s="1"/>
  <c r="S31" i="29"/>
  <c r="AB31" i="29" s="1"/>
  <c r="S30" i="29"/>
  <c r="AB30" i="29" s="1"/>
  <c r="S20" i="29"/>
  <c r="AB20" i="29" s="1"/>
  <c r="P20" i="29"/>
  <c r="Q20" i="29" s="1"/>
  <c r="N16" i="29"/>
  <c r="U16" i="29" s="1"/>
  <c r="U38" i="29"/>
  <c r="S38" i="29"/>
  <c r="AB38" i="29" s="1"/>
  <c r="U26" i="29"/>
  <c r="U30" i="29"/>
  <c r="P34" i="29"/>
  <c r="Q34" i="29" s="1"/>
  <c r="S39" i="29"/>
  <c r="AB39" i="29" s="1"/>
  <c r="N17" i="29"/>
  <c r="AM15" i="29"/>
  <c r="AO15" i="29" s="1"/>
  <c r="AM16" i="29"/>
  <c r="AP16" i="29" s="1"/>
  <c r="I247" i="5"/>
  <c r="I240" i="5" s="1"/>
  <c r="AG16" i="29"/>
  <c r="AH16" i="29"/>
  <c r="R16" i="29"/>
  <c r="Y17" i="29"/>
  <c r="AF16" i="29"/>
  <c r="Z17" i="29"/>
  <c r="AA17" i="29"/>
  <c r="Z16" i="29"/>
  <c r="Y16" i="29"/>
  <c r="AM17" i="29"/>
  <c r="D32" i="6"/>
  <c r="O32" i="6" s="1"/>
  <c r="AK48" i="29"/>
  <c r="N84" i="29" s="1"/>
  <c r="D6" i="6"/>
  <c r="AN19" i="29"/>
  <c r="AL19" i="29"/>
  <c r="M19" i="29"/>
  <c r="J19" i="29"/>
  <c r="F19" i="29"/>
  <c r="AN18" i="29"/>
  <c r="AL18" i="29"/>
  <c r="M18" i="29"/>
  <c r="J18" i="29"/>
  <c r="F18" i="29"/>
  <c r="AN14" i="29"/>
  <c r="AL14" i="29"/>
  <c r="AH14" i="29"/>
  <c r="AG14" i="29"/>
  <c r="AF14" i="29"/>
  <c r="AE14" i="29"/>
  <c r="M14" i="29"/>
  <c r="J14" i="29"/>
  <c r="F14" i="29"/>
  <c r="AA14" i="29" s="1"/>
  <c r="AN13" i="29"/>
  <c r="AL13" i="29"/>
  <c r="AH13" i="29"/>
  <c r="AF13" i="29"/>
  <c r="M13" i="29"/>
  <c r="J13" i="29"/>
  <c r="F13" i="29"/>
  <c r="AA13" i="29" s="1"/>
  <c r="AN12" i="29"/>
  <c r="AL12" i="29"/>
  <c r="AH12" i="29"/>
  <c r="AG12" i="29"/>
  <c r="AF12" i="29"/>
  <c r="AE12" i="29"/>
  <c r="M12" i="29"/>
  <c r="J12" i="29"/>
  <c r="F12" i="29"/>
  <c r="AN11" i="29"/>
  <c r="AL11" i="29"/>
  <c r="AH11" i="29"/>
  <c r="AG11" i="29"/>
  <c r="AF11" i="29"/>
  <c r="AE11" i="29"/>
  <c r="M11" i="29"/>
  <c r="J11" i="29"/>
  <c r="F11" i="29"/>
  <c r="Z11" i="29" s="1"/>
  <c r="AN10" i="29"/>
  <c r="AL10" i="29"/>
  <c r="AH10" i="29"/>
  <c r="AG10" i="29"/>
  <c r="AF10" i="29"/>
  <c r="AE10" i="29"/>
  <c r="M10" i="29"/>
  <c r="J10" i="29"/>
  <c r="F10" i="29"/>
  <c r="AN9" i="29"/>
  <c r="AL9" i="29"/>
  <c r="AH9" i="29"/>
  <c r="AG9" i="29"/>
  <c r="AF9" i="29"/>
  <c r="AE9" i="29"/>
  <c r="M9" i="29"/>
  <c r="J9" i="29"/>
  <c r="F9" i="29"/>
  <c r="Z9" i="29" s="1"/>
  <c r="AN8" i="29"/>
  <c r="AL8" i="29"/>
  <c r="F8" i="29"/>
  <c r="AN7" i="29"/>
  <c r="AL7" i="29"/>
  <c r="F7" i="29"/>
  <c r="AN6" i="29"/>
  <c r="AL6" i="29"/>
  <c r="F6" i="29"/>
  <c r="AN5" i="29"/>
  <c r="AL5" i="29"/>
  <c r="AF5" i="29"/>
  <c r="M5" i="29"/>
  <c r="J5" i="29"/>
  <c r="F5" i="29"/>
  <c r="D41" i="6" l="1"/>
  <c r="AF48" i="29"/>
  <c r="P40" i="29"/>
  <c r="Q40" i="29" s="1"/>
  <c r="P24" i="29"/>
  <c r="Q24" i="29" s="1"/>
  <c r="AI48" i="29"/>
  <c r="H104" i="29"/>
  <c r="C51" i="29"/>
  <c r="D26" i="30" s="1"/>
  <c r="D37" i="30"/>
  <c r="D11" i="6"/>
  <c r="D11" i="30"/>
  <c r="D40" i="6"/>
  <c r="H102" i="29"/>
  <c r="D39" i="6"/>
  <c r="H100" i="29"/>
  <c r="V5" i="29"/>
  <c r="V48" i="29" s="1"/>
  <c r="D10" i="30" s="1"/>
  <c r="P43" i="29"/>
  <c r="Q43" i="29" s="1"/>
  <c r="R43" i="29"/>
  <c r="U17" i="29"/>
  <c r="R21" i="29"/>
  <c r="P21" i="29"/>
  <c r="Q21" i="29" s="1"/>
  <c r="AC16" i="29"/>
  <c r="S17" i="29"/>
  <c r="AB17" i="29" s="1"/>
  <c r="P17" i="29"/>
  <c r="Q17" i="29" s="1"/>
  <c r="S16" i="29"/>
  <c r="AB16" i="29" s="1"/>
  <c r="N5" i="29"/>
  <c r="U5" i="29" s="1"/>
  <c r="AP15" i="29"/>
  <c r="AC17" i="29"/>
  <c r="AO16" i="29"/>
  <c r="P16" i="29"/>
  <c r="Q16" i="29" s="1"/>
  <c r="AO17" i="29"/>
  <c r="AP17" i="29"/>
  <c r="N14" i="29"/>
  <c r="R14" i="29" s="1"/>
  <c r="N19" i="29"/>
  <c r="P19" i="29" s="1"/>
  <c r="Q19" i="29" s="1"/>
  <c r="AA9" i="29"/>
  <c r="AM9" i="29"/>
  <c r="AO9" i="29" s="1"/>
  <c r="N10" i="29"/>
  <c r="U10" i="29" s="1"/>
  <c r="N13" i="29"/>
  <c r="N9" i="29"/>
  <c r="Z13" i="29"/>
  <c r="R13" i="29"/>
  <c r="Y19" i="29"/>
  <c r="R19" i="29"/>
  <c r="AG13" i="29"/>
  <c r="AG48" i="29" s="1"/>
  <c r="AM14" i="29"/>
  <c r="AP14" i="29" s="1"/>
  <c r="Z5" i="29"/>
  <c r="AA11" i="29"/>
  <c r="N12" i="29"/>
  <c r="N18" i="29"/>
  <c r="S18" i="29" s="1"/>
  <c r="Z19" i="29"/>
  <c r="D38" i="6"/>
  <c r="D50" i="6" s="1"/>
  <c r="N11" i="29"/>
  <c r="S11" i="29" s="1"/>
  <c r="AA19" i="29"/>
  <c r="AM7" i="29"/>
  <c r="AO7" i="29" s="1"/>
  <c r="AM8" i="29"/>
  <c r="AO8" i="29" s="1"/>
  <c r="AM19" i="29"/>
  <c r="Y5" i="29"/>
  <c r="AM5" i="29"/>
  <c r="AP5" i="29" s="1"/>
  <c r="AM11" i="29"/>
  <c r="AP11" i="29" s="1"/>
  <c r="AM13" i="29"/>
  <c r="AP13" i="29" s="1"/>
  <c r="H67" i="29"/>
  <c r="AM18" i="29"/>
  <c r="AA10" i="29"/>
  <c r="Z10" i="29"/>
  <c r="Y10" i="29"/>
  <c r="AM10" i="29"/>
  <c r="AA12" i="29"/>
  <c r="Z12" i="29"/>
  <c r="Y12" i="29"/>
  <c r="AM12" i="29"/>
  <c r="AA18" i="29"/>
  <c r="Z18" i="29"/>
  <c r="Y18" i="29"/>
  <c r="AN48" i="29"/>
  <c r="AM6" i="29"/>
  <c r="AJ48" i="29"/>
  <c r="Y14" i="29"/>
  <c r="AL48" i="29"/>
  <c r="Y9" i="29"/>
  <c r="Y11" i="29"/>
  <c r="Y13" i="29"/>
  <c r="AE13" i="29"/>
  <c r="Z14" i="29"/>
  <c r="AH48" i="29"/>
  <c r="D9" i="30" s="1"/>
  <c r="AA5" i="29"/>
  <c r="AE5" i="29"/>
  <c r="D49" i="30" l="1"/>
  <c r="AA48" i="29"/>
  <c r="Z48" i="29"/>
  <c r="H63" i="29" s="1"/>
  <c r="Y48" i="29"/>
  <c r="AE48" i="29"/>
  <c r="K52" i="29" s="1"/>
  <c r="U14" i="29"/>
  <c r="S5" i="29"/>
  <c r="AB5" i="29" s="1"/>
  <c r="U9" i="29"/>
  <c r="S10" i="29"/>
  <c r="AB10" i="29" s="1"/>
  <c r="R10" i="29"/>
  <c r="O5" i="29"/>
  <c r="R5" i="29" s="1"/>
  <c r="P14" i="29"/>
  <c r="Q14" i="29" s="1"/>
  <c r="S14" i="29"/>
  <c r="AB14" i="29" s="1"/>
  <c r="P9" i="29"/>
  <c r="Q9" i="29" s="1"/>
  <c r="S9" i="29"/>
  <c r="AB9" i="29" s="1"/>
  <c r="U19" i="29"/>
  <c r="U13" i="29"/>
  <c r="P13" i="29"/>
  <c r="Q13" i="29" s="1"/>
  <c r="S13" i="29"/>
  <c r="AB13" i="29" s="1"/>
  <c r="S19" i="29"/>
  <c r="AB19" i="29" s="1"/>
  <c r="AC9" i="29"/>
  <c r="AC11" i="29"/>
  <c r="AO13" i="29"/>
  <c r="AO14" i="29"/>
  <c r="AO11" i="29"/>
  <c r="AO5" i="29"/>
  <c r="AP9" i="29"/>
  <c r="AP8" i="29"/>
  <c r="D27" i="6"/>
  <c r="O27" i="6" s="1"/>
  <c r="N86" i="29"/>
  <c r="AC19" i="29"/>
  <c r="U12" i="29"/>
  <c r="AP7" i="29"/>
  <c r="S12" i="29"/>
  <c r="AB12" i="29" s="1"/>
  <c r="O11" i="29"/>
  <c r="H65" i="29"/>
  <c r="D9" i="6"/>
  <c r="H94" i="29"/>
  <c r="U18" i="29"/>
  <c r="O18" i="29"/>
  <c r="AC13" i="29"/>
  <c r="U11" i="29"/>
  <c r="W5" i="29"/>
  <c r="W48" i="29" s="1"/>
  <c r="H96" i="29" s="1"/>
  <c r="AO19" i="29"/>
  <c r="AP19" i="29"/>
  <c r="AC14" i="29"/>
  <c r="AP6" i="29"/>
  <c r="AO6" i="29"/>
  <c r="AC18" i="29"/>
  <c r="AO12" i="29"/>
  <c r="AP12" i="29"/>
  <c r="AP18" i="29"/>
  <c r="AO18" i="29"/>
  <c r="AB11" i="29"/>
  <c r="AM48" i="29"/>
  <c r="D47" i="30" s="1"/>
  <c r="AC5" i="29"/>
  <c r="AB18" i="29"/>
  <c r="AC12" i="29"/>
  <c r="AO10" i="29"/>
  <c r="AP10" i="29"/>
  <c r="AC10" i="29"/>
  <c r="D46" i="6" l="1"/>
  <c r="D45" i="30"/>
  <c r="D46" i="30"/>
  <c r="AC48" i="29"/>
  <c r="AB48" i="29"/>
  <c r="R9" i="29"/>
  <c r="P10" i="29"/>
  <c r="Q10" i="29" s="1"/>
  <c r="P5" i="29"/>
  <c r="Q5" i="29" s="1"/>
  <c r="D48" i="6"/>
  <c r="D47" i="6" s="1"/>
  <c r="S48" i="29"/>
  <c r="G52" i="29" s="1"/>
  <c r="G56" i="29" s="1"/>
  <c r="U48" i="29"/>
  <c r="H66" i="29"/>
  <c r="H64" i="29"/>
  <c r="P18" i="29"/>
  <c r="Q18" i="29" s="1"/>
  <c r="R18" i="29"/>
  <c r="P12" i="29"/>
  <c r="Q12" i="29" s="1"/>
  <c r="R12" i="29"/>
  <c r="H68" i="29"/>
  <c r="P11" i="29"/>
  <c r="Q11" i="29" s="1"/>
  <c r="R11" i="29"/>
  <c r="AP48" i="29"/>
  <c r="AO48" i="29"/>
  <c r="F112" i="5"/>
  <c r="F99" i="5"/>
  <c r="E334" i="4"/>
  <c r="D486" i="5"/>
  <c r="C486" i="5"/>
  <c r="E397" i="5"/>
  <c r="E375" i="5"/>
  <c r="D375" i="5"/>
  <c r="E374" i="5"/>
  <c r="D374" i="5"/>
  <c r="F373" i="5"/>
  <c r="E373" i="5"/>
  <c r="D373" i="5"/>
  <c r="E372" i="5"/>
  <c r="D372" i="5"/>
  <c r="E371" i="5"/>
  <c r="D371" i="5"/>
  <c r="E364" i="5"/>
  <c r="D364" i="5"/>
  <c r="E363" i="5"/>
  <c r="D363" i="5"/>
  <c r="F362" i="5"/>
  <c r="E362" i="5"/>
  <c r="D362" i="5"/>
  <c r="F361" i="5"/>
  <c r="E361" i="5"/>
  <c r="D361" i="5"/>
  <c r="E360" i="5"/>
  <c r="D360" i="5"/>
  <c r="E359" i="5"/>
  <c r="D359" i="5"/>
  <c r="E358" i="5"/>
  <c r="D358" i="5"/>
  <c r="E357" i="5"/>
  <c r="D357" i="5"/>
  <c r="E351" i="5"/>
  <c r="D351" i="5"/>
  <c r="F350" i="5"/>
  <c r="E350" i="5"/>
  <c r="D350" i="5"/>
  <c r="E349" i="5"/>
  <c r="D349" i="5"/>
  <c r="E343" i="5"/>
  <c r="D343" i="5"/>
  <c r="E342" i="5"/>
  <c r="D342" i="5"/>
  <c r="F341" i="5"/>
  <c r="E341" i="5"/>
  <c r="D341" i="5"/>
  <c r="E340" i="5"/>
  <c r="D340" i="5"/>
  <c r="E339" i="5"/>
  <c r="D339" i="5"/>
  <c r="E338" i="5"/>
  <c r="D338" i="5"/>
  <c r="E332" i="5"/>
  <c r="D332" i="5"/>
  <c r="E331" i="5"/>
  <c r="D331" i="5"/>
  <c r="F330" i="5"/>
  <c r="E330" i="5"/>
  <c r="D330" i="5"/>
  <c r="F329" i="5"/>
  <c r="E329" i="5"/>
  <c r="D329" i="5"/>
  <c r="E328" i="5"/>
  <c r="D328" i="5"/>
  <c r="E327" i="5"/>
  <c r="D327" i="5"/>
  <c r="E326" i="5"/>
  <c r="D326" i="5"/>
  <c r="E325" i="5"/>
  <c r="D325" i="5"/>
  <c r="E324" i="5"/>
  <c r="D324" i="5"/>
  <c r="E45" i="5"/>
  <c r="D45" i="5"/>
  <c r="F44" i="5"/>
  <c r="E44" i="5"/>
  <c r="D44" i="5"/>
  <c r="E43" i="5"/>
  <c r="D43" i="5"/>
  <c r="E42" i="5"/>
  <c r="D42" i="5"/>
  <c r="D24" i="30" l="1"/>
  <c r="D24" i="6"/>
  <c r="N94" i="29"/>
  <c r="H82" i="29"/>
  <c r="Q48" i="29"/>
  <c r="H59" i="29"/>
  <c r="H71" i="29" s="1"/>
  <c r="H80" i="29" s="1"/>
  <c r="D10" i="6"/>
  <c r="N82" i="29"/>
  <c r="R48" i="29"/>
  <c r="H86" i="29" s="1"/>
  <c r="D14" i="6" s="1"/>
  <c r="F407" i="5"/>
  <c r="F406" i="5"/>
  <c r="F405" i="5"/>
  <c r="F404" i="5"/>
  <c r="E408" i="5"/>
  <c r="E407" i="5"/>
  <c r="E406" i="5"/>
  <c r="E405" i="5"/>
  <c r="E404" i="5"/>
  <c r="E403" i="5"/>
  <c r="D408" i="5"/>
  <c r="D407" i="5"/>
  <c r="D406" i="5"/>
  <c r="D405" i="5"/>
  <c r="D404" i="5"/>
  <c r="D403" i="5"/>
  <c r="D397" i="5"/>
  <c r="D394" i="5"/>
  <c r="D395" i="5"/>
  <c r="D396" i="5"/>
  <c r="D392" i="5"/>
  <c r="E394" i="5"/>
  <c r="E395" i="5"/>
  <c r="E396" i="5"/>
  <c r="E393" i="5"/>
  <c r="E392" i="5"/>
  <c r="D384" i="5"/>
  <c r="D385" i="5"/>
  <c r="D386" i="5"/>
  <c r="D383" i="5"/>
  <c r="D382" i="5"/>
  <c r="D381" i="5"/>
  <c r="E382" i="5"/>
  <c r="E383" i="5"/>
  <c r="E384" i="5"/>
  <c r="E385" i="5"/>
  <c r="E386" i="5"/>
  <c r="E381" i="5"/>
  <c r="F396" i="5"/>
  <c r="F395" i="5"/>
  <c r="F394" i="5"/>
  <c r="F393" i="5"/>
  <c r="F382" i="5"/>
  <c r="I382" i="5" s="1"/>
  <c r="F384" i="5"/>
  <c r="F385" i="5"/>
  <c r="F383" i="5"/>
  <c r="F201" i="5"/>
  <c r="F6" i="23"/>
  <c r="D14" i="30" l="1"/>
  <c r="D34" i="6"/>
  <c r="D33" i="30"/>
  <c r="D53" i="6"/>
  <c r="D52" i="30"/>
  <c r="I201" i="5"/>
  <c r="K203" i="5"/>
  <c r="K195" i="5" s="1"/>
  <c r="H208" i="5"/>
  <c r="H209" i="5"/>
  <c r="I210" i="5"/>
  <c r="I211" i="5"/>
  <c r="I212" i="5"/>
  <c r="J213" i="5"/>
  <c r="J214" i="5" s="1"/>
  <c r="J206" i="5" s="1"/>
  <c r="K214" i="5"/>
  <c r="K206" i="5" s="1"/>
  <c r="H483" i="5"/>
  <c r="H484" i="5"/>
  <c r="I485" i="5"/>
  <c r="I487" i="5" s="1"/>
  <c r="I481" i="5" s="1"/>
  <c r="K487" i="5"/>
  <c r="K481" i="5" s="1"/>
  <c r="I383" i="5"/>
  <c r="I384" i="5"/>
  <c r="I385" i="5"/>
  <c r="K387" i="5"/>
  <c r="K379" i="5" s="1"/>
  <c r="I393" i="5"/>
  <c r="I394" i="5"/>
  <c r="I395" i="5"/>
  <c r="I396" i="5"/>
  <c r="K398" i="5"/>
  <c r="K390" i="5" s="1"/>
  <c r="I405" i="5"/>
  <c r="I406" i="5"/>
  <c r="I407" i="5"/>
  <c r="K409" i="5"/>
  <c r="K401" i="5" s="1"/>
  <c r="K376" i="5"/>
  <c r="K369" i="5" s="1"/>
  <c r="I373" i="5"/>
  <c r="K362" i="5"/>
  <c r="I361" i="5"/>
  <c r="K352" i="5"/>
  <c r="K347" i="5" s="1"/>
  <c r="I350" i="5"/>
  <c r="I352" i="5" s="1"/>
  <c r="I347" i="5" s="1"/>
  <c r="K341" i="5"/>
  <c r="K330" i="5"/>
  <c r="I329" i="5"/>
  <c r="F311" i="5"/>
  <c r="F312" i="5"/>
  <c r="F314" i="5"/>
  <c r="F315" i="5"/>
  <c r="F316" i="5"/>
  <c r="C14" i="6"/>
  <c r="G42" i="7"/>
  <c r="G43" i="7"/>
  <c r="G44" i="7"/>
  <c r="I44" i="5"/>
  <c r="K46" i="5"/>
  <c r="K40" i="5" s="1"/>
  <c r="I214" i="5" l="1"/>
  <c r="I206" i="5" s="1"/>
  <c r="H487" i="5"/>
  <c r="H481" i="5" s="1"/>
  <c r="H214" i="5"/>
  <c r="I387" i="5"/>
  <c r="I379" i="5" s="1"/>
  <c r="I398" i="5"/>
  <c r="I390" i="5" s="1"/>
  <c r="I404" i="5"/>
  <c r="I409" i="5" s="1"/>
  <c r="I401" i="5" s="1"/>
  <c r="F24" i="6" l="1"/>
  <c r="F24" i="30"/>
  <c r="F206" i="5"/>
  <c r="H206" i="5"/>
  <c r="C22" i="6" l="1"/>
  <c r="B22" i="6"/>
  <c r="F294" i="5"/>
  <c r="I294" i="5" s="1"/>
  <c r="F284" i="5"/>
  <c r="I284" i="5" s="1"/>
  <c r="J297" i="5"/>
  <c r="J298" i="5" s="1"/>
  <c r="J291" i="5" s="1"/>
  <c r="I296" i="5"/>
  <c r="I295" i="5"/>
  <c r="H293" i="5"/>
  <c r="H298" i="5" s="1"/>
  <c r="K298" i="5"/>
  <c r="K291" i="5" s="1"/>
  <c r="D294" i="5"/>
  <c r="D284" i="5"/>
  <c r="K288" i="5"/>
  <c r="K281" i="5" s="1"/>
  <c r="J287" i="5"/>
  <c r="I286" i="5"/>
  <c r="I285" i="5"/>
  <c r="H283" i="5"/>
  <c r="H288" i="5" s="1"/>
  <c r="E277" i="5"/>
  <c r="E275" i="5"/>
  <c r="E276" i="5"/>
  <c r="E274" i="5"/>
  <c r="E273" i="5"/>
  <c r="E267" i="5"/>
  <c r="E266" i="5"/>
  <c r="E265" i="5"/>
  <c r="E264" i="5"/>
  <c r="E263" i="5"/>
  <c r="F275" i="5"/>
  <c r="I275" i="5" s="1"/>
  <c r="F276" i="5"/>
  <c r="I276" i="5" s="1"/>
  <c r="F274" i="5"/>
  <c r="I274" i="5" s="1"/>
  <c r="F265" i="5"/>
  <c r="F266" i="5"/>
  <c r="F264" i="5"/>
  <c r="K278" i="5"/>
  <c r="D277" i="5"/>
  <c r="D275" i="5"/>
  <c r="D276" i="5"/>
  <c r="D274" i="5"/>
  <c r="D273" i="5"/>
  <c r="D267" i="5"/>
  <c r="D266" i="5"/>
  <c r="D265" i="5"/>
  <c r="D264" i="5"/>
  <c r="D263" i="5"/>
  <c r="D236" i="5"/>
  <c r="D235" i="5"/>
  <c r="D234" i="5"/>
  <c r="D233" i="5"/>
  <c r="D232" i="5"/>
  <c r="K271" i="5"/>
  <c r="J288" i="5" l="1"/>
  <c r="J281" i="5" s="1"/>
  <c r="I288" i="5"/>
  <c r="I281" i="5" s="1"/>
  <c r="H291" i="5"/>
  <c r="I298" i="5"/>
  <c r="I291" i="5" s="1"/>
  <c r="H281" i="5"/>
  <c r="I278" i="5"/>
  <c r="I271" i="5" s="1"/>
  <c r="F281" i="5" l="1"/>
  <c r="F291" i="5"/>
  <c r="E226" i="5"/>
  <c r="E225" i="5"/>
  <c r="E223" i="5"/>
  <c r="E224" i="5"/>
  <c r="E222" i="5"/>
  <c r="D225" i="5"/>
  <c r="F233" i="5"/>
  <c r="I233" i="5" s="1"/>
  <c r="F234" i="5"/>
  <c r="I234" i="5" s="1"/>
  <c r="F235" i="5"/>
  <c r="I235" i="5" s="1"/>
  <c r="F224" i="5"/>
  <c r="I224" i="5" s="1"/>
  <c r="F223" i="5"/>
  <c r="I223" i="5" s="1"/>
  <c r="L227" i="5"/>
  <c r="K268" i="5"/>
  <c r="K261" i="5" s="1"/>
  <c r="I266" i="5"/>
  <c r="I264" i="5"/>
  <c r="F225" i="5"/>
  <c r="I265" i="5"/>
  <c r="K237" i="5"/>
  <c r="K230" i="5" s="1"/>
  <c r="D222" i="5"/>
  <c r="D224" i="5"/>
  <c r="D226" i="5"/>
  <c r="D223" i="5"/>
  <c r="K227" i="5"/>
  <c r="D99" i="5"/>
  <c r="K220" i="5" l="1"/>
  <c r="I237" i="5"/>
  <c r="I268" i="5"/>
  <c r="I261" i="5" s="1"/>
  <c r="I225" i="5"/>
  <c r="I227" i="5" s="1"/>
  <c r="I230" i="5" l="1"/>
  <c r="I220" i="5"/>
  <c r="K126" i="5"/>
  <c r="K118" i="5" s="1"/>
  <c r="J125" i="5"/>
  <c r="J126" i="5" s="1"/>
  <c r="J118" i="5" s="1"/>
  <c r="I124" i="5"/>
  <c r="I123" i="5"/>
  <c r="I122" i="5"/>
  <c r="H121" i="5"/>
  <c r="H120" i="5"/>
  <c r="K114" i="5"/>
  <c r="K106" i="5" s="1"/>
  <c r="I112" i="5"/>
  <c r="D162" i="5"/>
  <c r="E163" i="5"/>
  <c r="D163" i="5"/>
  <c r="F162" i="5"/>
  <c r="I162" i="5" s="1"/>
  <c r="I164" i="5" s="1"/>
  <c r="I155" i="5" s="1"/>
  <c r="E162" i="5"/>
  <c r="F161" i="5"/>
  <c r="K161" i="5" s="1"/>
  <c r="E161" i="5"/>
  <c r="D161" i="5"/>
  <c r="F160" i="5"/>
  <c r="K160" i="5" s="1"/>
  <c r="E160" i="5"/>
  <c r="D160" i="5"/>
  <c r="F159" i="5"/>
  <c r="K159" i="5" s="1"/>
  <c r="E159" i="5"/>
  <c r="D159" i="5"/>
  <c r="E158" i="5"/>
  <c r="D158" i="5"/>
  <c r="E157" i="5"/>
  <c r="D157" i="5"/>
  <c r="I100" i="5"/>
  <c r="I97" i="5" s="1"/>
  <c r="J100" i="5"/>
  <c r="J97" i="5" s="1"/>
  <c r="K100" i="5"/>
  <c r="K97" i="5" s="1"/>
  <c r="H99" i="5"/>
  <c r="E99" i="5"/>
  <c r="D71" i="5"/>
  <c r="E71" i="5"/>
  <c r="D72" i="5"/>
  <c r="E72" i="5"/>
  <c r="D73" i="5"/>
  <c r="E73" i="5"/>
  <c r="I74" i="5"/>
  <c r="I69" i="5" s="1"/>
  <c r="K74" i="5"/>
  <c r="K69" i="5" s="1"/>
  <c r="F14" i="6" l="1"/>
  <c r="F14" i="30"/>
  <c r="J14" i="30" s="1"/>
  <c r="I126" i="5"/>
  <c r="I118" i="5" s="1"/>
  <c r="H126" i="5"/>
  <c r="K164" i="5"/>
  <c r="K155" i="5" s="1"/>
  <c r="H100" i="5"/>
  <c r="H97" i="5" s="1"/>
  <c r="F118" i="5" l="1"/>
  <c r="H118" i="5"/>
  <c r="F97" i="5"/>
  <c r="H7" i="23" l="1"/>
  <c r="Q7" i="23" s="1"/>
  <c r="V7" i="23" s="1"/>
  <c r="AC7" i="23" s="1"/>
  <c r="H6" i="23"/>
  <c r="Q6" i="23" s="1"/>
  <c r="V6" i="23" s="1"/>
  <c r="AC6" i="23" s="1"/>
  <c r="AH6" i="23" s="1"/>
  <c r="H5" i="23"/>
  <c r="Q5" i="23" s="1"/>
  <c r="V5" i="23" s="1"/>
  <c r="AC5" i="23" s="1"/>
  <c r="AH5" i="23" s="1"/>
  <c r="M61" i="18" l="1"/>
  <c r="M61" i="20"/>
  <c r="M61" i="21"/>
  <c r="L61" i="16" l="1"/>
  <c r="L61" i="21"/>
  <c r="L61" i="20"/>
  <c r="L61" i="18"/>
  <c r="G61" i="20"/>
  <c r="L59" i="18"/>
  <c r="L59" i="20"/>
  <c r="L59" i="16"/>
  <c r="M59" i="16" s="1"/>
  <c r="L63" i="21"/>
  <c r="L63" i="20"/>
  <c r="L64" i="20"/>
  <c r="L65" i="20"/>
  <c r="L58" i="18"/>
  <c r="L58" i="20"/>
  <c r="L58" i="21"/>
  <c r="L58" i="16"/>
  <c r="M58" i="16" s="1"/>
  <c r="L66" i="20"/>
  <c r="L67" i="20"/>
  <c r="L57" i="18"/>
  <c r="L57" i="20"/>
  <c r="L57" i="21"/>
  <c r="L57" i="16"/>
  <c r="M57" i="16" s="1"/>
  <c r="R69" i="20"/>
  <c r="P69" i="20"/>
  <c r="U68" i="20"/>
  <c r="R68" i="20"/>
  <c r="P68" i="20"/>
  <c r="U67" i="20"/>
  <c r="R67" i="20"/>
  <c r="P67" i="20"/>
  <c r="U66" i="20"/>
  <c r="R66" i="20"/>
  <c r="P66" i="20"/>
  <c r="U65" i="20"/>
  <c r="R65" i="20"/>
  <c r="P65" i="20"/>
  <c r="U64" i="20"/>
  <c r="P64" i="20"/>
  <c r="T69" i="21"/>
  <c r="O63" i="21" s="1"/>
  <c r="S68" i="21"/>
  <c r="R67" i="21"/>
  <c r="R66" i="21"/>
  <c r="U64" i="21"/>
  <c r="T64" i="21"/>
  <c r="S64" i="21"/>
  <c r="R64" i="21"/>
  <c r="P64" i="21"/>
  <c r="U60" i="21"/>
  <c r="U62" i="21" s="1"/>
  <c r="O68" i="20"/>
  <c r="O67" i="20"/>
  <c r="O66" i="20"/>
  <c r="O65" i="20"/>
  <c r="O64" i="20"/>
  <c r="O63" i="20"/>
  <c r="O62" i="20"/>
  <c r="O61" i="20"/>
  <c r="T59" i="21"/>
  <c r="S59" i="21"/>
  <c r="S60" i="21" s="1"/>
  <c r="R59" i="21"/>
  <c r="Q59" i="21"/>
  <c r="I67" i="20"/>
  <c r="G67" i="20"/>
  <c r="I66" i="20"/>
  <c r="I65" i="20"/>
  <c r="G65" i="20"/>
  <c r="I64" i="20"/>
  <c r="G64" i="20"/>
  <c r="G63" i="20"/>
  <c r="G62" i="20"/>
  <c r="K68" i="21"/>
  <c r="I66" i="21"/>
  <c r="K63" i="21"/>
  <c r="J63" i="21"/>
  <c r="L59" i="21"/>
  <c r="L70" i="20"/>
  <c r="I70" i="20"/>
  <c r="G70" i="20"/>
  <c r="L69" i="20"/>
  <c r="I69" i="20"/>
  <c r="G69" i="20"/>
  <c r="K71" i="21"/>
  <c r="J70" i="21"/>
  <c r="I69" i="21"/>
  <c r="M61" i="16" l="1"/>
  <c r="G63" i="21"/>
  <c r="I63" i="21"/>
  <c r="S62" i="21"/>
  <c r="T60" i="21"/>
  <c r="T62" i="21" s="1"/>
  <c r="R60" i="21"/>
  <c r="R62" i="21" s="1"/>
  <c r="Q1" i="23" l="1"/>
  <c r="AC1" i="23" s="1"/>
  <c r="F19" i="22" l="1"/>
  <c r="F18" i="22"/>
  <c r="F17" i="22"/>
  <c r="F16" i="22"/>
  <c r="F15" i="22"/>
  <c r="F14" i="22"/>
  <c r="F13" i="22"/>
  <c r="F12" i="22"/>
  <c r="F11" i="22"/>
  <c r="F10" i="22"/>
  <c r="F9" i="22"/>
  <c r="F8" i="22"/>
  <c r="F7" i="22"/>
  <c r="F6" i="22"/>
  <c r="F5" i="22"/>
  <c r="F4" i="22"/>
  <c r="E1183" i="4"/>
  <c r="E1182" i="4"/>
  <c r="E1181" i="4"/>
  <c r="E1180" i="4"/>
  <c r="E1179" i="4"/>
  <c r="E1178" i="4"/>
  <c r="E1177" i="4"/>
  <c r="E1176" i="4"/>
  <c r="E1175" i="4"/>
  <c r="E1174" i="4"/>
  <c r="E1173" i="4"/>
  <c r="E1171" i="4"/>
  <c r="E1170" i="4"/>
  <c r="E1172" i="4"/>
  <c r="E1169" i="4"/>
  <c r="E1168" i="4"/>
  <c r="E1167" i="4"/>
  <c r="E1166" i="4"/>
  <c r="E1165" i="4"/>
  <c r="E1164" i="4"/>
  <c r="E1163" i="4"/>
  <c r="E1155" i="4"/>
  <c r="E1158" i="4"/>
  <c r="E1157" i="4"/>
  <c r="E1156" i="4"/>
  <c r="E1162" i="4"/>
  <c r="E1161" i="4"/>
  <c r="E1160" i="4"/>
  <c r="E1159" i="4"/>
  <c r="E1154" i="4"/>
  <c r="E1153" i="4"/>
  <c r="E1152" i="4"/>
  <c r="E1151" i="4"/>
  <c r="E1150" i="4"/>
  <c r="E1149" i="4"/>
  <c r="E1148" i="4"/>
  <c r="E1147" i="4"/>
  <c r="D20" i="16" l="1"/>
  <c r="K52" i="6"/>
  <c r="M52" i="6" s="1"/>
  <c r="K7" i="6"/>
  <c r="M7" i="6" s="1"/>
  <c r="K12" i="6"/>
  <c r="M12" i="6" s="1"/>
  <c r="K16" i="6"/>
  <c r="K19" i="6"/>
  <c r="M19" i="6" s="1"/>
  <c r="K23" i="6"/>
  <c r="M23" i="6" s="1"/>
  <c r="D44" i="26"/>
  <c r="D43" i="26"/>
  <c r="G42" i="26"/>
  <c r="D41" i="26"/>
  <c r="G26" i="26"/>
  <c r="D25" i="26"/>
  <c r="G25" i="26" s="1"/>
  <c r="D24" i="26"/>
  <c r="G24" i="26" s="1"/>
  <c r="D23" i="26"/>
  <c r="G23" i="26" s="1"/>
  <c r="D22" i="26"/>
  <c r="G22" i="26" s="1"/>
  <c r="D21" i="26"/>
  <c r="G21" i="26" s="1"/>
  <c r="B20" i="26"/>
  <c r="C19" i="26"/>
  <c r="B19" i="26"/>
  <c r="D18" i="26"/>
  <c r="G18" i="26" s="1"/>
  <c r="D17" i="26"/>
  <c r="G17" i="26" s="1"/>
  <c r="D16" i="26"/>
  <c r="G16" i="26" s="1"/>
  <c r="T15" i="26"/>
  <c r="G15" i="26"/>
  <c r="S14" i="26"/>
  <c r="R14" i="26"/>
  <c r="T13" i="26"/>
  <c r="E43" i="26" s="1"/>
  <c r="G43" i="26" s="1"/>
  <c r="Q13" i="26"/>
  <c r="T12" i="26"/>
  <c r="T11" i="26"/>
  <c r="E41" i="26" s="1"/>
  <c r="G41" i="26" s="1"/>
  <c r="Q11" i="26"/>
  <c r="T10" i="26"/>
  <c r="E48" i="26" s="1"/>
  <c r="G48" i="26" s="1"/>
  <c r="Q10" i="26"/>
  <c r="T9" i="26"/>
  <c r="Q9" i="26"/>
  <c r="T8" i="26"/>
  <c r="E47" i="26" s="1"/>
  <c r="G47" i="26" s="1"/>
  <c r="Q8" i="26"/>
  <c r="T7" i="26"/>
  <c r="E46" i="26" s="1"/>
  <c r="G46" i="26" s="1"/>
  <c r="Q7" i="26"/>
  <c r="A2" i="26"/>
  <c r="T14" i="26" l="1"/>
  <c r="E44" i="26" s="1"/>
  <c r="G44" i="26" s="1"/>
  <c r="L42" i="6"/>
  <c r="L44" i="6"/>
  <c r="L52" i="6"/>
  <c r="L7" i="6"/>
  <c r="L12" i="6"/>
  <c r="L16" i="6"/>
  <c r="L19" i="6"/>
  <c r="L23" i="6"/>
  <c r="L26" i="6"/>
  <c r="L33" i="6"/>
  <c r="K42" i="6"/>
  <c r="M42" i="6" s="1"/>
  <c r="K44" i="6"/>
  <c r="M44" i="6" s="1"/>
  <c r="K26" i="6"/>
  <c r="M26" i="6" s="1"/>
  <c r="K33" i="6"/>
  <c r="M33" i="6" s="1"/>
  <c r="F5" i="23"/>
  <c r="M16" i="6"/>
  <c r="G5" i="23" l="1"/>
  <c r="E1047" i="4"/>
  <c r="E1046" i="4"/>
  <c r="E1042" i="4"/>
  <c r="E1041" i="4"/>
  <c r="E1039" i="4"/>
  <c r="E1053" i="4"/>
  <c r="E1054" i="4"/>
  <c r="E1055" i="4"/>
  <c r="E1057" i="4"/>
  <c r="E1056" i="4"/>
  <c r="E1103" i="4"/>
  <c r="E1082" i="4"/>
  <c r="E1081" i="4"/>
  <c r="E1080" i="4"/>
  <c r="E1079" i="4"/>
  <c r="E1078" i="4"/>
  <c r="E1077" i="4"/>
  <c r="E1106" i="4"/>
  <c r="E1096" i="4"/>
  <c r="E1095" i="4"/>
  <c r="E1094" i="4"/>
  <c r="E1091" i="4"/>
  <c r="E1093" i="4"/>
  <c r="E1070" i="4"/>
  <c r="E1069" i="4"/>
  <c r="E1085" i="4"/>
  <c r="E1084" i="4"/>
  <c r="E405" i="4"/>
  <c r="E404" i="4"/>
  <c r="E403" i="4"/>
  <c r="E402" i="4"/>
  <c r="E401" i="4"/>
  <c r="E400" i="4"/>
  <c r="F42" i="16"/>
  <c r="F41" i="16"/>
  <c r="F34" i="16"/>
  <c r="F35" i="16"/>
  <c r="F36" i="16"/>
  <c r="F37" i="16"/>
  <c r="F38" i="16"/>
  <c r="F39" i="16"/>
  <c r="F40" i="16"/>
  <c r="F33" i="16"/>
  <c r="B34" i="16"/>
  <c r="C34" i="16" s="1"/>
  <c r="B35" i="16"/>
  <c r="C35" i="16" s="1"/>
  <c r="B36" i="16"/>
  <c r="C36" i="16" s="1"/>
  <c r="B37" i="16"/>
  <c r="C37" i="16" s="1"/>
  <c r="B38" i="16"/>
  <c r="C38" i="16" s="1"/>
  <c r="B39" i="16"/>
  <c r="C39" i="16" s="1"/>
  <c r="B40" i="16"/>
  <c r="C40" i="16" s="1"/>
  <c r="B41" i="16"/>
  <c r="C41" i="16" s="1"/>
  <c r="B42" i="16"/>
  <c r="C42" i="16" s="1"/>
  <c r="B43" i="16"/>
  <c r="C43" i="16" s="1"/>
  <c r="B33" i="16"/>
  <c r="A34" i="16"/>
  <c r="A35" i="16"/>
  <c r="A36" i="16"/>
  <c r="A37" i="16"/>
  <c r="A38" i="16"/>
  <c r="A39" i="16"/>
  <c r="A40" i="16"/>
  <c r="A41" i="16"/>
  <c r="A42" i="16"/>
  <c r="A43" i="16"/>
  <c r="A33" i="16"/>
  <c r="D13" i="23" l="1"/>
  <c r="D11" i="23"/>
  <c r="A49" i="16" l="1"/>
  <c r="A50" i="16"/>
  <c r="A51" i="16"/>
  <c r="A52" i="16"/>
  <c r="A53" i="16"/>
  <c r="A54" i="16"/>
  <c r="A55" i="16"/>
  <c r="A56" i="16"/>
  <c r="A57" i="16"/>
  <c r="A48" i="16"/>
  <c r="O42" i="10"/>
  <c r="O43" i="10"/>
  <c r="O44" i="10"/>
  <c r="O45" i="10"/>
  <c r="O46" i="10"/>
  <c r="O47" i="10"/>
  <c r="O48" i="10"/>
  <c r="O49" i="10"/>
  <c r="O50" i="10"/>
  <c r="O51" i="10"/>
  <c r="O52" i="10"/>
  <c r="O53" i="10"/>
  <c r="O54" i="10"/>
  <c r="O55" i="10"/>
  <c r="O56" i="10"/>
  <c r="O57" i="10"/>
  <c r="O58" i="10"/>
  <c r="O59" i="10"/>
  <c r="O60" i="10"/>
  <c r="O61" i="10"/>
  <c r="O62" i="10"/>
  <c r="O63" i="10"/>
  <c r="O64" i="10"/>
  <c r="O65" i="10"/>
  <c r="O66" i="10"/>
  <c r="O67" i="10"/>
  <c r="O68" i="10"/>
  <c r="O69" i="10"/>
  <c r="O70" i="10"/>
  <c r="O71" i="10"/>
  <c r="O72" i="10"/>
  <c r="O73" i="10"/>
  <c r="O74" i="10"/>
  <c r="O75" i="10"/>
  <c r="O76" i="10"/>
  <c r="O77" i="10"/>
  <c r="O78" i="10"/>
  <c r="O79" i="10"/>
  <c r="O80" i="10"/>
  <c r="O81" i="10"/>
  <c r="O82" i="10"/>
  <c r="O83" i="10"/>
  <c r="O84" i="10"/>
  <c r="O85" i="10"/>
  <c r="O86" i="10"/>
  <c r="O87" i="10"/>
  <c r="O88" i="10"/>
  <c r="O89" i="10"/>
  <c r="O90" i="10"/>
  <c r="O91" i="10"/>
  <c r="O92" i="10"/>
  <c r="O93" i="10"/>
  <c r="O94" i="10"/>
  <c r="O95" i="10"/>
  <c r="O96" i="10"/>
  <c r="O97" i="10"/>
  <c r="O98" i="10"/>
  <c r="O99" i="10"/>
  <c r="O100" i="10"/>
  <c r="O101" i="10"/>
  <c r="O102" i="10"/>
  <c r="O103" i="10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37" i="10"/>
  <c r="O38" i="10"/>
  <c r="O39" i="10"/>
  <c r="O40" i="10"/>
  <c r="O41" i="10"/>
  <c r="O8" i="10"/>
  <c r="N9" i="10"/>
  <c r="Q9" i="10" s="1"/>
  <c r="N10" i="10"/>
  <c r="Q10" i="10" s="1"/>
  <c r="N11" i="10"/>
  <c r="Q11" i="10" s="1"/>
  <c r="N12" i="10"/>
  <c r="Q12" i="10" s="1"/>
  <c r="N13" i="10"/>
  <c r="Q13" i="10" s="1"/>
  <c r="N14" i="10"/>
  <c r="Q14" i="10" s="1"/>
  <c r="N15" i="10"/>
  <c r="Q15" i="10" s="1"/>
  <c r="N16" i="10"/>
  <c r="Q16" i="10" s="1"/>
  <c r="N17" i="10"/>
  <c r="Q17" i="10" s="1"/>
  <c r="N18" i="10"/>
  <c r="Q18" i="10" s="1"/>
  <c r="N19" i="10"/>
  <c r="Q19" i="10" s="1"/>
  <c r="N20" i="10"/>
  <c r="Q20" i="10" s="1"/>
  <c r="N21" i="10"/>
  <c r="Q21" i="10" s="1"/>
  <c r="N22" i="10"/>
  <c r="Q22" i="10" s="1"/>
  <c r="N23" i="10"/>
  <c r="Q23" i="10" s="1"/>
  <c r="N24" i="10"/>
  <c r="Q24" i="10" s="1"/>
  <c r="N25" i="10"/>
  <c r="Q25" i="10" s="1"/>
  <c r="N26" i="10"/>
  <c r="Q26" i="10" s="1"/>
  <c r="N27" i="10"/>
  <c r="Q27" i="10" s="1"/>
  <c r="N28" i="10"/>
  <c r="Q28" i="10" s="1"/>
  <c r="N29" i="10"/>
  <c r="Q29" i="10" s="1"/>
  <c r="N30" i="10"/>
  <c r="Q30" i="10" s="1"/>
  <c r="N31" i="10"/>
  <c r="Q31" i="10" s="1"/>
  <c r="N32" i="10"/>
  <c r="Q32" i="10" s="1"/>
  <c r="N33" i="10"/>
  <c r="Q33" i="10" s="1"/>
  <c r="N34" i="10"/>
  <c r="Q34" i="10" s="1"/>
  <c r="N35" i="10"/>
  <c r="Q35" i="10" s="1"/>
  <c r="N36" i="10"/>
  <c r="Q36" i="10" s="1"/>
  <c r="N37" i="10"/>
  <c r="Q37" i="10" s="1"/>
  <c r="N38" i="10"/>
  <c r="Q38" i="10" s="1"/>
  <c r="N39" i="10"/>
  <c r="Q39" i="10" s="1"/>
  <c r="N40" i="10"/>
  <c r="Q40" i="10" s="1"/>
  <c r="N41" i="10"/>
  <c r="Q41" i="10" s="1"/>
  <c r="N42" i="10"/>
  <c r="Q42" i="10" s="1"/>
  <c r="N43" i="10"/>
  <c r="Q43" i="10" s="1"/>
  <c r="N44" i="10"/>
  <c r="Q44" i="10" s="1"/>
  <c r="N45" i="10"/>
  <c r="Q45" i="10" s="1"/>
  <c r="N46" i="10"/>
  <c r="Q46" i="10" s="1"/>
  <c r="N47" i="10"/>
  <c r="Q47" i="10" s="1"/>
  <c r="N48" i="10"/>
  <c r="Q48" i="10" s="1"/>
  <c r="N49" i="10"/>
  <c r="Q49" i="10" s="1"/>
  <c r="N50" i="10"/>
  <c r="Q50" i="10" s="1"/>
  <c r="N51" i="10"/>
  <c r="Q51" i="10" s="1"/>
  <c r="N52" i="10"/>
  <c r="Q52" i="10" s="1"/>
  <c r="N53" i="10"/>
  <c r="Q53" i="10" s="1"/>
  <c r="N54" i="10"/>
  <c r="Q54" i="10" s="1"/>
  <c r="N55" i="10"/>
  <c r="Q55" i="10" s="1"/>
  <c r="N56" i="10"/>
  <c r="Q56" i="10" s="1"/>
  <c r="N57" i="10"/>
  <c r="Q57" i="10" s="1"/>
  <c r="N58" i="10"/>
  <c r="Q58" i="10" s="1"/>
  <c r="N59" i="10"/>
  <c r="Q59" i="10" s="1"/>
  <c r="N60" i="10"/>
  <c r="Q60" i="10" s="1"/>
  <c r="N61" i="10"/>
  <c r="Q61" i="10" s="1"/>
  <c r="N62" i="10"/>
  <c r="Q62" i="10" s="1"/>
  <c r="N63" i="10"/>
  <c r="Q63" i="10" s="1"/>
  <c r="N64" i="10"/>
  <c r="Q64" i="10" s="1"/>
  <c r="N65" i="10"/>
  <c r="Q65" i="10" s="1"/>
  <c r="N66" i="10"/>
  <c r="Q66" i="10" s="1"/>
  <c r="N67" i="10"/>
  <c r="Q67" i="10" s="1"/>
  <c r="N68" i="10"/>
  <c r="Q68" i="10" s="1"/>
  <c r="N69" i="10"/>
  <c r="Q69" i="10" s="1"/>
  <c r="N70" i="10"/>
  <c r="Q70" i="10" s="1"/>
  <c r="N71" i="10"/>
  <c r="Q71" i="10" s="1"/>
  <c r="N72" i="10"/>
  <c r="Q72" i="10" s="1"/>
  <c r="N73" i="10"/>
  <c r="Q73" i="10" s="1"/>
  <c r="N74" i="10"/>
  <c r="Q74" i="10" s="1"/>
  <c r="N75" i="10"/>
  <c r="Q75" i="10" s="1"/>
  <c r="N76" i="10"/>
  <c r="Q76" i="10" s="1"/>
  <c r="N77" i="10"/>
  <c r="Q77" i="10" s="1"/>
  <c r="N78" i="10"/>
  <c r="Q78" i="10" s="1"/>
  <c r="N79" i="10"/>
  <c r="Q79" i="10" s="1"/>
  <c r="N80" i="10"/>
  <c r="Q80" i="10" s="1"/>
  <c r="N81" i="10"/>
  <c r="Q81" i="10" s="1"/>
  <c r="N82" i="10"/>
  <c r="Q82" i="10" s="1"/>
  <c r="N83" i="10"/>
  <c r="Q83" i="10" s="1"/>
  <c r="N84" i="10"/>
  <c r="Q84" i="10" s="1"/>
  <c r="N85" i="10"/>
  <c r="Q85" i="10" s="1"/>
  <c r="N86" i="10"/>
  <c r="Q86" i="10" s="1"/>
  <c r="N87" i="10"/>
  <c r="Q87" i="10" s="1"/>
  <c r="N88" i="10"/>
  <c r="Q88" i="10" s="1"/>
  <c r="N89" i="10"/>
  <c r="Q89" i="10" s="1"/>
  <c r="N90" i="10"/>
  <c r="Q90" i="10" s="1"/>
  <c r="N91" i="10"/>
  <c r="Q91" i="10" s="1"/>
  <c r="N92" i="10"/>
  <c r="Q92" i="10" s="1"/>
  <c r="N93" i="10"/>
  <c r="Q93" i="10" s="1"/>
  <c r="N94" i="10"/>
  <c r="Q94" i="10" s="1"/>
  <c r="N95" i="10"/>
  <c r="Q95" i="10" s="1"/>
  <c r="N96" i="10"/>
  <c r="Q96" i="10" s="1"/>
  <c r="N97" i="10"/>
  <c r="Q97" i="10" s="1"/>
  <c r="N98" i="10"/>
  <c r="Q98" i="10" s="1"/>
  <c r="N99" i="10"/>
  <c r="Q99" i="10" s="1"/>
  <c r="N100" i="10"/>
  <c r="Q100" i="10" s="1"/>
  <c r="N101" i="10"/>
  <c r="Q101" i="10" s="1"/>
  <c r="N102" i="10"/>
  <c r="Q102" i="10" s="1"/>
  <c r="N103" i="10"/>
  <c r="Q103" i="10" s="1"/>
  <c r="N8" i="10"/>
  <c r="Q8" i="10" s="1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L69" i="10"/>
  <c r="L70" i="10"/>
  <c r="L71" i="10"/>
  <c r="L72" i="10"/>
  <c r="L73" i="10"/>
  <c r="L74" i="10"/>
  <c r="L75" i="10"/>
  <c r="L76" i="10"/>
  <c r="L77" i="10"/>
  <c r="L78" i="10"/>
  <c r="L79" i="10"/>
  <c r="L80" i="10"/>
  <c r="L81" i="10"/>
  <c r="L82" i="10"/>
  <c r="L83" i="10"/>
  <c r="L84" i="10"/>
  <c r="L85" i="10"/>
  <c r="L86" i="10"/>
  <c r="L87" i="10"/>
  <c r="L88" i="10"/>
  <c r="L89" i="10"/>
  <c r="L90" i="10"/>
  <c r="L91" i="10"/>
  <c r="L92" i="10"/>
  <c r="L93" i="10"/>
  <c r="L94" i="10"/>
  <c r="L95" i="10"/>
  <c r="L96" i="10"/>
  <c r="L97" i="10"/>
  <c r="L98" i="10"/>
  <c r="L99" i="10"/>
  <c r="L100" i="10"/>
  <c r="L101" i="10"/>
  <c r="L102" i="10"/>
  <c r="L103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8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8" i="10"/>
  <c r="E42" i="10"/>
  <c r="M42" i="10" s="1"/>
  <c r="E43" i="10"/>
  <c r="M43" i="10" s="1"/>
  <c r="E44" i="10"/>
  <c r="M44" i="10" s="1"/>
  <c r="E45" i="10"/>
  <c r="M45" i="10" s="1"/>
  <c r="E46" i="10"/>
  <c r="M46" i="10" s="1"/>
  <c r="E47" i="10"/>
  <c r="M47" i="10" s="1"/>
  <c r="E48" i="10"/>
  <c r="M48" i="10" s="1"/>
  <c r="E49" i="10"/>
  <c r="M49" i="10" s="1"/>
  <c r="E50" i="10"/>
  <c r="M50" i="10" s="1"/>
  <c r="E51" i="10"/>
  <c r="M51" i="10" s="1"/>
  <c r="E52" i="10"/>
  <c r="M52" i="10" s="1"/>
  <c r="E53" i="10"/>
  <c r="M53" i="10" s="1"/>
  <c r="E54" i="10"/>
  <c r="M54" i="10" s="1"/>
  <c r="E55" i="10"/>
  <c r="M55" i="10" s="1"/>
  <c r="E56" i="10"/>
  <c r="M56" i="10" s="1"/>
  <c r="E57" i="10"/>
  <c r="M57" i="10" s="1"/>
  <c r="E58" i="10"/>
  <c r="M58" i="10" s="1"/>
  <c r="E59" i="10"/>
  <c r="M59" i="10" s="1"/>
  <c r="E60" i="10"/>
  <c r="M60" i="10" s="1"/>
  <c r="E61" i="10"/>
  <c r="M61" i="10" s="1"/>
  <c r="E62" i="10"/>
  <c r="M62" i="10" s="1"/>
  <c r="E63" i="10"/>
  <c r="M63" i="10" s="1"/>
  <c r="E64" i="10"/>
  <c r="M64" i="10" s="1"/>
  <c r="E65" i="10"/>
  <c r="M65" i="10" s="1"/>
  <c r="E66" i="10"/>
  <c r="M66" i="10" s="1"/>
  <c r="E67" i="10"/>
  <c r="M67" i="10" s="1"/>
  <c r="E68" i="10"/>
  <c r="M68" i="10" s="1"/>
  <c r="E69" i="10"/>
  <c r="M69" i="10" s="1"/>
  <c r="E70" i="10"/>
  <c r="M70" i="10" s="1"/>
  <c r="E71" i="10"/>
  <c r="M71" i="10" s="1"/>
  <c r="E72" i="10"/>
  <c r="M72" i="10" s="1"/>
  <c r="E73" i="10"/>
  <c r="M73" i="10" s="1"/>
  <c r="E74" i="10"/>
  <c r="M74" i="10" s="1"/>
  <c r="E75" i="10"/>
  <c r="M75" i="10" s="1"/>
  <c r="E76" i="10"/>
  <c r="M76" i="10" s="1"/>
  <c r="E77" i="10"/>
  <c r="M77" i="10" s="1"/>
  <c r="E78" i="10"/>
  <c r="M78" i="10" s="1"/>
  <c r="E79" i="10"/>
  <c r="M79" i="10" s="1"/>
  <c r="E80" i="10"/>
  <c r="M80" i="10" s="1"/>
  <c r="E81" i="10"/>
  <c r="M81" i="10" s="1"/>
  <c r="E82" i="10"/>
  <c r="M82" i="10" s="1"/>
  <c r="E83" i="10"/>
  <c r="M83" i="10" s="1"/>
  <c r="E84" i="10"/>
  <c r="M84" i="10" s="1"/>
  <c r="E85" i="10"/>
  <c r="M85" i="10" s="1"/>
  <c r="E86" i="10"/>
  <c r="M86" i="10" s="1"/>
  <c r="E87" i="10"/>
  <c r="M87" i="10" s="1"/>
  <c r="E88" i="10"/>
  <c r="M88" i="10" s="1"/>
  <c r="E89" i="10"/>
  <c r="M89" i="10" s="1"/>
  <c r="E90" i="10"/>
  <c r="M90" i="10" s="1"/>
  <c r="E91" i="10"/>
  <c r="M91" i="10" s="1"/>
  <c r="E92" i="10"/>
  <c r="M92" i="10" s="1"/>
  <c r="E93" i="10"/>
  <c r="M93" i="10" s="1"/>
  <c r="E94" i="10"/>
  <c r="M94" i="10" s="1"/>
  <c r="E95" i="10"/>
  <c r="M95" i="10" s="1"/>
  <c r="E96" i="10"/>
  <c r="M96" i="10" s="1"/>
  <c r="E97" i="10"/>
  <c r="M97" i="10" s="1"/>
  <c r="E98" i="10"/>
  <c r="M98" i="10" s="1"/>
  <c r="E99" i="10"/>
  <c r="M99" i="10" s="1"/>
  <c r="E100" i="10"/>
  <c r="M100" i="10" s="1"/>
  <c r="E101" i="10"/>
  <c r="M101" i="10" s="1"/>
  <c r="E102" i="10"/>
  <c r="M102" i="10" s="1"/>
  <c r="E103" i="10"/>
  <c r="M103" i="10" s="1"/>
  <c r="E9" i="10"/>
  <c r="M9" i="10" s="1"/>
  <c r="E10" i="10"/>
  <c r="M10" i="10" s="1"/>
  <c r="E11" i="10"/>
  <c r="M11" i="10" s="1"/>
  <c r="E12" i="10"/>
  <c r="M12" i="10" s="1"/>
  <c r="E13" i="10"/>
  <c r="M13" i="10" s="1"/>
  <c r="E14" i="10"/>
  <c r="M14" i="10" s="1"/>
  <c r="E15" i="10"/>
  <c r="M15" i="10" s="1"/>
  <c r="E16" i="10"/>
  <c r="M16" i="10" s="1"/>
  <c r="E17" i="10"/>
  <c r="M17" i="10" s="1"/>
  <c r="E18" i="10"/>
  <c r="M18" i="10" s="1"/>
  <c r="E19" i="10"/>
  <c r="M19" i="10" s="1"/>
  <c r="E20" i="10"/>
  <c r="M20" i="10" s="1"/>
  <c r="E21" i="10"/>
  <c r="M21" i="10" s="1"/>
  <c r="E22" i="10"/>
  <c r="M22" i="10" s="1"/>
  <c r="E23" i="10"/>
  <c r="M23" i="10" s="1"/>
  <c r="E24" i="10"/>
  <c r="M24" i="10" s="1"/>
  <c r="E25" i="10"/>
  <c r="M25" i="10" s="1"/>
  <c r="E26" i="10"/>
  <c r="M26" i="10" s="1"/>
  <c r="E27" i="10"/>
  <c r="M27" i="10" s="1"/>
  <c r="E28" i="10"/>
  <c r="M28" i="10" s="1"/>
  <c r="E29" i="10"/>
  <c r="M29" i="10" s="1"/>
  <c r="E30" i="10"/>
  <c r="M30" i="10" s="1"/>
  <c r="E31" i="10"/>
  <c r="M31" i="10" s="1"/>
  <c r="E32" i="10"/>
  <c r="M32" i="10" s="1"/>
  <c r="E33" i="10"/>
  <c r="M33" i="10" s="1"/>
  <c r="E34" i="10"/>
  <c r="M34" i="10" s="1"/>
  <c r="E35" i="10"/>
  <c r="M35" i="10" s="1"/>
  <c r="E36" i="10"/>
  <c r="M36" i="10" s="1"/>
  <c r="E37" i="10"/>
  <c r="M37" i="10" s="1"/>
  <c r="E38" i="10"/>
  <c r="M38" i="10" s="1"/>
  <c r="E39" i="10"/>
  <c r="M39" i="10" s="1"/>
  <c r="E40" i="10"/>
  <c r="M40" i="10" s="1"/>
  <c r="E41" i="10"/>
  <c r="M41" i="10" s="1"/>
  <c r="E8" i="10"/>
  <c r="I8" i="10" l="1"/>
  <c r="I40" i="10"/>
  <c r="P40" i="10" s="1"/>
  <c r="I38" i="10"/>
  <c r="P38" i="10" s="1"/>
  <c r="I36" i="10"/>
  <c r="P36" i="10" s="1"/>
  <c r="I34" i="10"/>
  <c r="P34" i="10" s="1"/>
  <c r="I32" i="10"/>
  <c r="P32" i="10" s="1"/>
  <c r="I30" i="10"/>
  <c r="P30" i="10" s="1"/>
  <c r="I28" i="10"/>
  <c r="P28" i="10" s="1"/>
  <c r="I26" i="10"/>
  <c r="P26" i="10" s="1"/>
  <c r="I24" i="10"/>
  <c r="P24" i="10" s="1"/>
  <c r="I22" i="10"/>
  <c r="P22" i="10" s="1"/>
  <c r="I20" i="10"/>
  <c r="P20" i="10" s="1"/>
  <c r="I18" i="10"/>
  <c r="P18" i="10" s="1"/>
  <c r="I16" i="10"/>
  <c r="P16" i="10" s="1"/>
  <c r="I14" i="10"/>
  <c r="P14" i="10" s="1"/>
  <c r="I12" i="10"/>
  <c r="P12" i="10" s="1"/>
  <c r="I10" i="10"/>
  <c r="P10" i="10" s="1"/>
  <c r="I103" i="10"/>
  <c r="P103" i="10" s="1"/>
  <c r="I101" i="10"/>
  <c r="P101" i="10" s="1"/>
  <c r="I99" i="10"/>
  <c r="P99" i="10" s="1"/>
  <c r="I97" i="10"/>
  <c r="P97" i="10" s="1"/>
  <c r="I95" i="10"/>
  <c r="P95" i="10" s="1"/>
  <c r="I93" i="10"/>
  <c r="P93" i="10" s="1"/>
  <c r="I91" i="10"/>
  <c r="P91" i="10" s="1"/>
  <c r="I89" i="10"/>
  <c r="P89" i="10" s="1"/>
  <c r="I87" i="10"/>
  <c r="P87" i="10" s="1"/>
  <c r="I85" i="10"/>
  <c r="P85" i="10" s="1"/>
  <c r="I83" i="10"/>
  <c r="P83" i="10" s="1"/>
  <c r="I81" i="10"/>
  <c r="P81" i="10" s="1"/>
  <c r="I79" i="10"/>
  <c r="P79" i="10" s="1"/>
  <c r="I77" i="10"/>
  <c r="P77" i="10" s="1"/>
  <c r="I75" i="10"/>
  <c r="P75" i="10" s="1"/>
  <c r="I73" i="10"/>
  <c r="P73" i="10" s="1"/>
  <c r="I71" i="10"/>
  <c r="P71" i="10" s="1"/>
  <c r="I69" i="10"/>
  <c r="P69" i="10" s="1"/>
  <c r="I67" i="10"/>
  <c r="P67" i="10" s="1"/>
  <c r="I65" i="10"/>
  <c r="P65" i="10" s="1"/>
  <c r="I63" i="10"/>
  <c r="P63" i="10" s="1"/>
  <c r="I61" i="10"/>
  <c r="P61" i="10" s="1"/>
  <c r="I59" i="10"/>
  <c r="P59" i="10" s="1"/>
  <c r="I57" i="10"/>
  <c r="P57" i="10" s="1"/>
  <c r="I55" i="10"/>
  <c r="P55" i="10" s="1"/>
  <c r="I53" i="10"/>
  <c r="P53" i="10" s="1"/>
  <c r="I51" i="10"/>
  <c r="P51" i="10" s="1"/>
  <c r="I49" i="10"/>
  <c r="P49" i="10" s="1"/>
  <c r="I47" i="10"/>
  <c r="P47" i="10" s="1"/>
  <c r="I45" i="10"/>
  <c r="P45" i="10" s="1"/>
  <c r="I43" i="10"/>
  <c r="P43" i="10" s="1"/>
  <c r="M8" i="10"/>
  <c r="I41" i="10"/>
  <c r="P41" i="10" s="1"/>
  <c r="I39" i="10"/>
  <c r="P39" i="10" s="1"/>
  <c r="I37" i="10"/>
  <c r="P37" i="10" s="1"/>
  <c r="I35" i="10"/>
  <c r="P35" i="10" s="1"/>
  <c r="I33" i="10"/>
  <c r="P33" i="10" s="1"/>
  <c r="I31" i="10"/>
  <c r="P31" i="10" s="1"/>
  <c r="I29" i="10"/>
  <c r="P29" i="10" s="1"/>
  <c r="I27" i="10"/>
  <c r="P27" i="10" s="1"/>
  <c r="I25" i="10"/>
  <c r="P25" i="10" s="1"/>
  <c r="I23" i="10"/>
  <c r="P23" i="10" s="1"/>
  <c r="I21" i="10"/>
  <c r="P21" i="10" s="1"/>
  <c r="I19" i="10"/>
  <c r="P19" i="10" s="1"/>
  <c r="I17" i="10"/>
  <c r="P17" i="10" s="1"/>
  <c r="I15" i="10"/>
  <c r="P15" i="10" s="1"/>
  <c r="I13" i="10"/>
  <c r="P13" i="10" s="1"/>
  <c r="I11" i="10"/>
  <c r="P11" i="10" s="1"/>
  <c r="I9" i="10"/>
  <c r="P9" i="10" s="1"/>
  <c r="I102" i="10"/>
  <c r="P102" i="10" s="1"/>
  <c r="I100" i="10"/>
  <c r="P100" i="10" s="1"/>
  <c r="I98" i="10"/>
  <c r="P98" i="10" s="1"/>
  <c r="I96" i="10"/>
  <c r="P96" i="10" s="1"/>
  <c r="I94" i="10"/>
  <c r="P94" i="10" s="1"/>
  <c r="I92" i="10"/>
  <c r="P92" i="10" s="1"/>
  <c r="I90" i="10"/>
  <c r="P90" i="10" s="1"/>
  <c r="I88" i="10"/>
  <c r="P88" i="10" s="1"/>
  <c r="I86" i="10"/>
  <c r="P86" i="10" s="1"/>
  <c r="I84" i="10"/>
  <c r="P84" i="10" s="1"/>
  <c r="I82" i="10"/>
  <c r="P82" i="10" s="1"/>
  <c r="I80" i="10"/>
  <c r="P80" i="10" s="1"/>
  <c r="I78" i="10"/>
  <c r="P78" i="10" s="1"/>
  <c r="I76" i="10"/>
  <c r="P76" i="10" s="1"/>
  <c r="I74" i="10"/>
  <c r="P74" i="10" s="1"/>
  <c r="I72" i="10"/>
  <c r="P72" i="10" s="1"/>
  <c r="I70" i="10"/>
  <c r="P70" i="10" s="1"/>
  <c r="I68" i="10"/>
  <c r="P68" i="10" s="1"/>
  <c r="I66" i="10"/>
  <c r="P66" i="10" s="1"/>
  <c r="I64" i="10"/>
  <c r="P64" i="10" s="1"/>
  <c r="I62" i="10"/>
  <c r="P62" i="10" s="1"/>
  <c r="I60" i="10"/>
  <c r="P60" i="10" s="1"/>
  <c r="I58" i="10"/>
  <c r="P58" i="10" s="1"/>
  <c r="I56" i="10"/>
  <c r="P56" i="10" s="1"/>
  <c r="I54" i="10"/>
  <c r="P54" i="10" s="1"/>
  <c r="I52" i="10"/>
  <c r="P52" i="10" s="1"/>
  <c r="I50" i="10"/>
  <c r="P50" i="10" s="1"/>
  <c r="I48" i="10"/>
  <c r="P48" i="10" s="1"/>
  <c r="I46" i="10"/>
  <c r="P46" i="10" s="1"/>
  <c r="I44" i="10"/>
  <c r="P44" i="10" s="1"/>
  <c r="I42" i="10"/>
  <c r="P42" i="10" s="1"/>
  <c r="I14" i="23" l="1"/>
  <c r="D8" i="30" s="1"/>
  <c r="C14" i="16"/>
  <c r="D89" i="21"/>
  <c r="D97" i="21" s="1"/>
  <c r="E75" i="21"/>
  <c r="D67" i="21"/>
  <c r="E67" i="21" s="1"/>
  <c r="D66" i="21"/>
  <c r="D81" i="21" s="1"/>
  <c r="E81" i="21" s="1"/>
  <c r="D51" i="21"/>
  <c r="D59" i="21" s="1"/>
  <c r="E59" i="21" s="1"/>
  <c r="D50" i="21"/>
  <c r="D58" i="21" s="1"/>
  <c r="E58" i="21" s="1"/>
  <c r="D42" i="21"/>
  <c r="E42" i="21" s="1"/>
  <c r="D41" i="21"/>
  <c r="E41" i="21" s="1"/>
  <c r="E35" i="21"/>
  <c r="E34" i="21"/>
  <c r="D30" i="21"/>
  <c r="E30" i="21" s="1"/>
  <c r="D29" i="21"/>
  <c r="E29" i="21" s="1"/>
  <c r="K23" i="21"/>
  <c r="E23" i="21"/>
  <c r="K22" i="21"/>
  <c r="E22" i="21"/>
  <c r="K21" i="21"/>
  <c r="D33" i="21"/>
  <c r="E33" i="21" s="1"/>
  <c r="K20" i="21"/>
  <c r="K19" i="21"/>
  <c r="K18" i="21"/>
  <c r="E18" i="21"/>
  <c r="K17" i="21"/>
  <c r="E17" i="21"/>
  <c r="K16" i="21"/>
  <c r="D43" i="21"/>
  <c r="E43" i="21" s="1"/>
  <c r="E10" i="21"/>
  <c r="E9" i="21"/>
  <c r="D8" i="21"/>
  <c r="D40" i="21" s="1"/>
  <c r="E40" i="21" s="1"/>
  <c r="D164" i="20"/>
  <c r="C164" i="20"/>
  <c r="B164" i="20"/>
  <c r="E163" i="20"/>
  <c r="C40" i="20"/>
  <c r="E19" i="20"/>
  <c r="E18" i="20"/>
  <c r="E17" i="20"/>
  <c r="E16" i="20"/>
  <c r="E15" i="20"/>
  <c r="E14" i="20"/>
  <c r="E13" i="20"/>
  <c r="E12" i="20"/>
  <c r="E11" i="20"/>
  <c r="E10" i="20"/>
  <c r="E9" i="20"/>
  <c r="C10" i="18"/>
  <c r="C9" i="18"/>
  <c r="D30" i="20" s="1"/>
  <c r="D62" i="16"/>
  <c r="D63" i="16" s="1"/>
  <c r="D61" i="16"/>
  <c r="C33" i="16"/>
  <c r="T10" i="10"/>
  <c r="T9" i="10"/>
  <c r="T8" i="10"/>
  <c r="P8" i="10"/>
  <c r="F182" i="5"/>
  <c r="E1121" i="4"/>
  <c r="C65" i="5"/>
  <c r="C171" i="5"/>
  <c r="E539" i="4"/>
  <c r="E542" i="4"/>
  <c r="E546" i="4"/>
  <c r="E547" i="4"/>
  <c r="E548" i="4"/>
  <c r="E549" i="4"/>
  <c r="E550" i="4"/>
  <c r="E551" i="4"/>
  <c r="E552" i="4"/>
  <c r="C498" i="5"/>
  <c r="E498" i="5" s="1"/>
  <c r="C497" i="5"/>
  <c r="C496" i="5"/>
  <c r="I496" i="5" s="1"/>
  <c r="K499" i="5"/>
  <c r="K493" i="5" s="1"/>
  <c r="E495" i="5"/>
  <c r="D495" i="5"/>
  <c r="K465" i="5"/>
  <c r="K455" i="5"/>
  <c r="K443" i="5"/>
  <c r="K434" i="5"/>
  <c r="K37" i="5"/>
  <c r="K28" i="5"/>
  <c r="K16" i="5"/>
  <c r="I66" i="5"/>
  <c r="K66" i="5"/>
  <c r="I94" i="5"/>
  <c r="I140" i="5"/>
  <c r="K172" i="5"/>
  <c r="E1074" i="4"/>
  <c r="E1142" i="4"/>
  <c r="E1141" i="4"/>
  <c r="E1140" i="4"/>
  <c r="E1139" i="4"/>
  <c r="E1138" i="4"/>
  <c r="E1137" i="4"/>
  <c r="E1136" i="4"/>
  <c r="E1135" i="4"/>
  <c r="E1134" i="4"/>
  <c r="E1127" i="4"/>
  <c r="E1126" i="4"/>
  <c r="E1125" i="4"/>
  <c r="E1124" i="4"/>
  <c r="E1123" i="4"/>
  <c r="E1122" i="4"/>
  <c r="E1120" i="4"/>
  <c r="E1118" i="4"/>
  <c r="E1117" i="4"/>
  <c r="E1116" i="4"/>
  <c r="E1115" i="4"/>
  <c r="E1113" i="4"/>
  <c r="E1112" i="4"/>
  <c r="E1111" i="4"/>
  <c r="E1110" i="4"/>
  <c r="E1109" i="4"/>
  <c r="E1108" i="4"/>
  <c r="E1107" i="4"/>
  <c r="E1105" i="4"/>
  <c r="E1104" i="4"/>
  <c r="E1102" i="4"/>
  <c r="E1101" i="4"/>
  <c r="E1100" i="4"/>
  <c r="E1099" i="4"/>
  <c r="E1098" i="4"/>
  <c r="E1092" i="4"/>
  <c r="E1090" i="4"/>
  <c r="E1089" i="4"/>
  <c r="E1088" i="4"/>
  <c r="E1087" i="4"/>
  <c r="E1086" i="4"/>
  <c r="E1076" i="4"/>
  <c r="E1075" i="4"/>
  <c r="E1073" i="4"/>
  <c r="E1072" i="4"/>
  <c r="E1071" i="4"/>
  <c r="E1068" i="4"/>
  <c r="E1067" i="4"/>
  <c r="E1066" i="4"/>
  <c r="E1065" i="4"/>
  <c r="E1064" i="4"/>
  <c r="E1063" i="4"/>
  <c r="E1062" i="4"/>
  <c r="E1061" i="4"/>
  <c r="E1060" i="4"/>
  <c r="E1059" i="4"/>
  <c r="E553" i="4"/>
  <c r="E1051" i="4"/>
  <c r="E1050" i="4"/>
  <c r="E1049" i="4"/>
  <c r="E1048" i="4"/>
  <c r="E957" i="4"/>
  <c r="E606" i="4"/>
  <c r="E996" i="4"/>
  <c r="E995" i="4"/>
  <c r="E1044" i="4"/>
  <c r="E1043" i="4"/>
  <c r="E1045" i="4"/>
  <c r="E1040" i="4"/>
  <c r="E956" i="4"/>
  <c r="E943" i="4"/>
  <c r="E942" i="4"/>
  <c r="E66" i="21" l="1"/>
  <c r="E20" i="20"/>
  <c r="K24" i="21"/>
  <c r="H92" i="29"/>
  <c r="D8" i="6"/>
  <c r="D498" i="5"/>
  <c r="C28" i="16"/>
  <c r="E30" i="16" s="1"/>
  <c r="C29" i="16" s="1"/>
  <c r="M19" i="16" s="1"/>
  <c r="E51" i="21"/>
  <c r="C30" i="16"/>
  <c r="I18" i="23"/>
  <c r="N90" i="29" s="1"/>
  <c r="I20" i="23"/>
  <c r="N88" i="29" s="1"/>
  <c r="I16" i="23"/>
  <c r="H84" i="29" s="1"/>
  <c r="E50" i="21"/>
  <c r="D82" i="21"/>
  <c r="E82" i="21" s="1"/>
  <c r="J67" i="21"/>
  <c r="E164" i="20"/>
  <c r="D42" i="16"/>
  <c r="C7" i="16"/>
  <c r="C8" i="16"/>
  <c r="C9" i="16"/>
  <c r="C10" i="16"/>
  <c r="C11" i="16"/>
  <c r="C12" i="16"/>
  <c r="C13" i="16"/>
  <c r="E44" i="21"/>
  <c r="D74" i="21" s="1"/>
  <c r="E74" i="21" s="1"/>
  <c r="E76" i="21" s="1"/>
  <c r="D65" i="16"/>
  <c r="D68" i="16" s="1"/>
  <c r="C23" i="16"/>
  <c r="C6" i="16"/>
  <c r="D39" i="20"/>
  <c r="E30" i="20"/>
  <c r="D105" i="21"/>
  <c r="E105" i="21" s="1"/>
  <c r="E97" i="21"/>
  <c r="C49" i="20"/>
  <c r="E8" i="21"/>
  <c r="E11" i="21"/>
  <c r="D16" i="21"/>
  <c r="E21" i="21"/>
  <c r="D49" i="21"/>
  <c r="D52" i="21"/>
  <c r="D65" i="21"/>
  <c r="I65" i="21" s="1"/>
  <c r="D68" i="21"/>
  <c r="D88" i="21"/>
  <c r="E88" i="21" s="1"/>
  <c r="D90" i="21"/>
  <c r="D28" i="20"/>
  <c r="D29" i="20"/>
  <c r="D19" i="21"/>
  <c r="E89" i="21"/>
  <c r="H172" i="5"/>
  <c r="E496" i="5"/>
  <c r="E497" i="5"/>
  <c r="D497" i="5"/>
  <c r="D496" i="5"/>
  <c r="D13" i="30" l="1"/>
  <c r="D13" i="6"/>
  <c r="D15" i="6"/>
  <c r="D45" i="6"/>
  <c r="D44" i="30"/>
  <c r="D22" i="6"/>
  <c r="D22" i="30"/>
  <c r="D42" i="30"/>
  <c r="D21" i="30"/>
  <c r="H88" i="29"/>
  <c r="D43" i="6"/>
  <c r="D21" i="6"/>
  <c r="H90" i="29"/>
  <c r="H98" i="29"/>
  <c r="I22" i="23"/>
  <c r="I21" i="23" s="1"/>
  <c r="C15" i="16"/>
  <c r="E12" i="21"/>
  <c r="E57" i="16"/>
  <c r="M34" i="16"/>
  <c r="D41" i="16"/>
  <c r="D40" i="16"/>
  <c r="D39" i="16"/>
  <c r="D38" i="16"/>
  <c r="D37" i="16"/>
  <c r="G36" i="16"/>
  <c r="E36" i="16"/>
  <c r="D35" i="16"/>
  <c r="D34" i="16"/>
  <c r="D43" i="16"/>
  <c r="G42" i="16"/>
  <c r="E42" i="16"/>
  <c r="E55" i="16"/>
  <c r="E56" i="16"/>
  <c r="E52" i="16"/>
  <c r="E50" i="16"/>
  <c r="D31" i="21"/>
  <c r="E31" i="21" s="1"/>
  <c r="E19" i="21"/>
  <c r="D37" i="20"/>
  <c r="E28" i="20"/>
  <c r="D80" i="21"/>
  <c r="E80" i="21" s="1"/>
  <c r="E65" i="21"/>
  <c r="D57" i="21"/>
  <c r="E57" i="21" s="1"/>
  <c r="E49" i="21"/>
  <c r="D96" i="21"/>
  <c r="E16" i="21"/>
  <c r="D28" i="21"/>
  <c r="E28" i="21" s="1"/>
  <c r="D48" i="20"/>
  <c r="E39" i="20"/>
  <c r="C24" i="16"/>
  <c r="M13" i="16"/>
  <c r="E23" i="16"/>
  <c r="E24" i="16" s="1"/>
  <c r="D38" i="20"/>
  <c r="E29" i="20"/>
  <c r="D98" i="21"/>
  <c r="E90" i="21"/>
  <c r="E91" i="21" s="1"/>
  <c r="D83" i="21"/>
  <c r="E83" i="21" s="1"/>
  <c r="E68" i="21"/>
  <c r="D60" i="21"/>
  <c r="E60" i="21" s="1"/>
  <c r="E52" i="21"/>
  <c r="C58" i="20"/>
  <c r="D33" i="16"/>
  <c r="E48" i="16"/>
  <c r="E53" i="16"/>
  <c r="E49" i="16"/>
  <c r="E54" i="16"/>
  <c r="F475" i="5"/>
  <c r="K475" i="5" s="1"/>
  <c r="F474" i="5"/>
  <c r="I474" i="5" s="1"/>
  <c r="E477" i="5"/>
  <c r="E476" i="5"/>
  <c r="E475" i="5"/>
  <c r="E474" i="5"/>
  <c r="E473" i="5"/>
  <c r="E472" i="5"/>
  <c r="E471" i="5"/>
  <c r="E470" i="5"/>
  <c r="D477" i="5"/>
  <c r="D476" i="5"/>
  <c r="D475" i="5"/>
  <c r="D474" i="5"/>
  <c r="D473" i="5"/>
  <c r="D472" i="5"/>
  <c r="D471" i="5"/>
  <c r="D470" i="5"/>
  <c r="F463" i="5"/>
  <c r="I463" i="5" s="1"/>
  <c r="F462" i="5"/>
  <c r="I462" i="5" s="1"/>
  <c r="F461" i="5"/>
  <c r="H461" i="5" s="1"/>
  <c r="F452" i="5"/>
  <c r="I452" i="5" s="1"/>
  <c r="F451" i="5"/>
  <c r="I451" i="5" s="1"/>
  <c r="F450" i="5"/>
  <c r="I450" i="5" s="1"/>
  <c r="F441" i="5"/>
  <c r="I441" i="5" s="1"/>
  <c r="F432" i="5"/>
  <c r="I432" i="5" s="1"/>
  <c r="F422" i="5"/>
  <c r="K422" i="5" s="1"/>
  <c r="F421" i="5"/>
  <c r="I421" i="5" s="1"/>
  <c r="F187" i="5"/>
  <c r="K187" i="5" s="1"/>
  <c r="F186" i="5"/>
  <c r="K186" i="5" s="1"/>
  <c r="F185" i="5"/>
  <c r="K185" i="5" s="1"/>
  <c r="F184" i="5"/>
  <c r="K184" i="5" s="1"/>
  <c r="F183" i="5"/>
  <c r="K183" i="5" s="1"/>
  <c r="I182" i="5"/>
  <c r="F35" i="5"/>
  <c r="I35" i="5" s="1"/>
  <c r="F26" i="5"/>
  <c r="I26" i="5" s="1"/>
  <c r="I28" i="5" s="1"/>
  <c r="E464" i="5"/>
  <c r="E463" i="5"/>
  <c r="E462" i="5"/>
  <c r="E461" i="5"/>
  <c r="E460" i="5"/>
  <c r="E454" i="5"/>
  <c r="E453" i="5"/>
  <c r="E452" i="5"/>
  <c r="E451" i="5"/>
  <c r="E450" i="5"/>
  <c r="E449" i="5"/>
  <c r="E448" i="5"/>
  <c r="E442" i="5"/>
  <c r="E441" i="5"/>
  <c r="E440" i="5"/>
  <c r="E439" i="5"/>
  <c r="E433" i="5"/>
  <c r="E432" i="5"/>
  <c r="E431" i="5"/>
  <c r="E430" i="5"/>
  <c r="E424" i="5"/>
  <c r="E423" i="5"/>
  <c r="E422" i="5"/>
  <c r="E421" i="5"/>
  <c r="E420" i="5"/>
  <c r="E419" i="5"/>
  <c r="E418" i="5"/>
  <c r="E417" i="5"/>
  <c r="E188" i="5"/>
  <c r="E187" i="5"/>
  <c r="E186" i="5"/>
  <c r="E185" i="5"/>
  <c r="E184" i="5"/>
  <c r="E183" i="5"/>
  <c r="E182" i="5"/>
  <c r="E181" i="5"/>
  <c r="E180" i="5"/>
  <c r="E36" i="5"/>
  <c r="E35" i="5"/>
  <c r="E34" i="5"/>
  <c r="E33" i="5"/>
  <c r="E27" i="5"/>
  <c r="E26" i="5"/>
  <c r="E25" i="5"/>
  <c r="E24" i="5"/>
  <c r="D464" i="5"/>
  <c r="D463" i="5"/>
  <c r="D462" i="5"/>
  <c r="D461" i="5"/>
  <c r="D460" i="5"/>
  <c r="D454" i="5"/>
  <c r="D453" i="5"/>
  <c r="D452" i="5"/>
  <c r="D451" i="5"/>
  <c r="D450" i="5"/>
  <c r="D449" i="5"/>
  <c r="D448" i="5"/>
  <c r="D442" i="5"/>
  <c r="D441" i="5"/>
  <c r="D440" i="5"/>
  <c r="D439" i="5"/>
  <c r="D433" i="5"/>
  <c r="D432" i="5"/>
  <c r="D431" i="5"/>
  <c r="D430" i="5"/>
  <c r="D424" i="5"/>
  <c r="D423" i="5"/>
  <c r="D422" i="5"/>
  <c r="D421" i="5"/>
  <c r="D420" i="5"/>
  <c r="D419" i="5"/>
  <c r="D418" i="5"/>
  <c r="D417" i="5"/>
  <c r="D188" i="5"/>
  <c r="D187" i="5"/>
  <c r="D186" i="5"/>
  <c r="D185" i="5"/>
  <c r="D184" i="5"/>
  <c r="D183" i="5"/>
  <c r="D182" i="5"/>
  <c r="D181" i="5"/>
  <c r="D180" i="5"/>
  <c r="D36" i="5"/>
  <c r="D35" i="5"/>
  <c r="D34" i="5"/>
  <c r="D33" i="5"/>
  <c r="D27" i="5"/>
  <c r="D26" i="5"/>
  <c r="D25" i="5"/>
  <c r="D24" i="5"/>
  <c r="K458" i="5"/>
  <c r="G15" i="7"/>
  <c r="K446" i="5"/>
  <c r="K437" i="5"/>
  <c r="K428" i="5"/>
  <c r="F9" i="2"/>
  <c r="T7" i="7"/>
  <c r="E37" i="7" s="1"/>
  <c r="G37" i="7" s="1"/>
  <c r="G17" i="7"/>
  <c r="Q7" i="7"/>
  <c r="E533" i="4"/>
  <c r="Q13" i="7"/>
  <c r="Q9" i="7"/>
  <c r="Q10" i="7"/>
  <c r="Q11" i="7"/>
  <c r="Q8" i="7"/>
  <c r="F170" i="5"/>
  <c r="I170" i="5" s="1"/>
  <c r="I172" i="5" s="1"/>
  <c r="I167" i="5" s="1"/>
  <c r="E171" i="5"/>
  <c r="E170" i="5"/>
  <c r="E169" i="5"/>
  <c r="D171" i="5"/>
  <c r="D170" i="5"/>
  <c r="D169" i="5"/>
  <c r="F92" i="5"/>
  <c r="K92" i="5" s="1"/>
  <c r="F91" i="5"/>
  <c r="H91" i="5" s="1"/>
  <c r="E93" i="5"/>
  <c r="E92" i="5"/>
  <c r="E91" i="5"/>
  <c r="E90" i="5"/>
  <c r="D93" i="5"/>
  <c r="D92" i="5"/>
  <c r="D91" i="5"/>
  <c r="D90" i="5"/>
  <c r="I88" i="5"/>
  <c r="C3" i="5"/>
  <c r="K167" i="5"/>
  <c r="H167" i="5"/>
  <c r="D65" i="5"/>
  <c r="D8" i="3"/>
  <c r="D40" i="3" s="1"/>
  <c r="E40" i="3" s="1"/>
  <c r="G21" i="7"/>
  <c r="G20" i="7"/>
  <c r="A2" i="7"/>
  <c r="E145" i="4"/>
  <c r="E143" i="4"/>
  <c r="E142" i="4"/>
  <c r="E103" i="4"/>
  <c r="E93" i="4"/>
  <c r="I497" i="5" s="1"/>
  <c r="I499" i="5" s="1"/>
  <c r="I493" i="5" s="1"/>
  <c r="E92" i="4"/>
  <c r="E90" i="4"/>
  <c r="E73" i="4"/>
  <c r="F453" i="5" s="1"/>
  <c r="I453" i="5" s="1"/>
  <c r="J23" i="3"/>
  <c r="J22" i="3"/>
  <c r="J21" i="3"/>
  <c r="J20" i="3"/>
  <c r="J19" i="3"/>
  <c r="J18" i="3"/>
  <c r="J17" i="3"/>
  <c r="J16" i="3"/>
  <c r="T13" i="7"/>
  <c r="E34" i="7" s="1"/>
  <c r="G16" i="7"/>
  <c r="G18" i="7"/>
  <c r="G19" i="7"/>
  <c r="G22" i="7"/>
  <c r="T11" i="7"/>
  <c r="T12" i="7"/>
  <c r="S14" i="7"/>
  <c r="R14" i="7"/>
  <c r="T8" i="7"/>
  <c r="E38" i="7" s="1"/>
  <c r="G38" i="7" s="1"/>
  <c r="T10" i="7"/>
  <c r="E39" i="7" s="1"/>
  <c r="G39" i="7" s="1"/>
  <c r="T9" i="7"/>
  <c r="T15" i="7"/>
  <c r="E963" i="4"/>
  <c r="E962" i="4"/>
  <c r="E961" i="4"/>
  <c r="E960" i="4"/>
  <c r="E959" i="4"/>
  <c r="E958" i="4"/>
  <c r="E955" i="4"/>
  <c r="E954" i="4"/>
  <c r="E953" i="4"/>
  <c r="E952" i="4"/>
  <c r="E951" i="4"/>
  <c r="E950" i="4"/>
  <c r="E949" i="4"/>
  <c r="E948" i="4"/>
  <c r="E947" i="4"/>
  <c r="E946" i="4"/>
  <c r="E945" i="4"/>
  <c r="E944" i="4"/>
  <c r="D43" i="3"/>
  <c r="E43" i="3" s="1"/>
  <c r="E121" i="4"/>
  <c r="F181" i="5"/>
  <c r="H181" i="5" s="1"/>
  <c r="E137" i="4"/>
  <c r="E181" i="4"/>
  <c r="R110" i="5" s="1"/>
  <c r="U110" i="5" s="1"/>
  <c r="E182" i="4"/>
  <c r="E56" i="4"/>
  <c r="E104" i="4"/>
  <c r="E102" i="4"/>
  <c r="E146" i="4"/>
  <c r="F440" i="5"/>
  <c r="H440" i="5" s="1"/>
  <c r="E218" i="4"/>
  <c r="E219" i="4"/>
  <c r="D33" i="3"/>
  <c r="E33" i="3" s="1"/>
  <c r="E74" i="4"/>
  <c r="E122" i="4"/>
  <c r="E133" i="4"/>
  <c r="F150" i="5"/>
  <c r="I150" i="5" s="1"/>
  <c r="F147" i="5"/>
  <c r="K147" i="5" s="1"/>
  <c r="F148" i="5"/>
  <c r="K148" i="5" s="1"/>
  <c r="F149" i="5"/>
  <c r="K149" i="5" s="1"/>
  <c r="I132" i="5"/>
  <c r="F136" i="5"/>
  <c r="K136" i="5" s="1"/>
  <c r="F137" i="5"/>
  <c r="K137" i="5" s="1"/>
  <c r="F138" i="5"/>
  <c r="K138" i="5" s="1"/>
  <c r="E230" i="4"/>
  <c r="F328" i="5" s="1"/>
  <c r="I328" i="5" s="1"/>
  <c r="E153" i="4"/>
  <c r="E180" i="4"/>
  <c r="R111" i="5" s="1"/>
  <c r="U111" i="5" s="1"/>
  <c r="E138" i="4"/>
  <c r="E177" i="4"/>
  <c r="R109" i="5" s="1"/>
  <c r="U109" i="5" s="1"/>
  <c r="E152" i="4"/>
  <c r="F72" i="5" s="1"/>
  <c r="H72" i="5" s="1"/>
  <c r="E147" i="4"/>
  <c r="I61" i="5"/>
  <c r="K61" i="5"/>
  <c r="E178" i="4"/>
  <c r="E179" i="4"/>
  <c r="E176" i="4"/>
  <c r="K10" i="5"/>
  <c r="F14" i="5"/>
  <c r="J14" i="5" s="1"/>
  <c r="F15" i="5"/>
  <c r="J15" i="5" s="1"/>
  <c r="F13" i="5"/>
  <c r="I13" i="5" s="1"/>
  <c r="E39" i="2"/>
  <c r="F39" i="2" s="1"/>
  <c r="D40" i="2"/>
  <c r="D41" i="3"/>
  <c r="E41" i="3" s="1"/>
  <c r="D42" i="3"/>
  <c r="E42" i="3" s="1"/>
  <c r="E9" i="3"/>
  <c r="E10" i="3"/>
  <c r="E17" i="3"/>
  <c r="E18" i="3"/>
  <c r="D29" i="3"/>
  <c r="E29" i="3" s="1"/>
  <c r="D30" i="3"/>
  <c r="E30" i="3" s="1"/>
  <c r="D50" i="3"/>
  <c r="E50" i="3" s="1"/>
  <c r="D51" i="3"/>
  <c r="E51" i="3" s="1"/>
  <c r="D66" i="3"/>
  <c r="E66" i="3" s="1"/>
  <c r="D67" i="3"/>
  <c r="E67" i="3" s="1"/>
  <c r="E75" i="3"/>
  <c r="D89" i="3"/>
  <c r="E89" i="3" s="1"/>
  <c r="D150" i="5"/>
  <c r="E150" i="5"/>
  <c r="E151" i="5"/>
  <c r="D151" i="5"/>
  <c r="E149" i="5"/>
  <c r="D149" i="5"/>
  <c r="E148" i="5"/>
  <c r="D148" i="5"/>
  <c r="E147" i="5"/>
  <c r="D147" i="5"/>
  <c r="E146" i="5"/>
  <c r="D146" i="5"/>
  <c r="E145" i="5"/>
  <c r="D145" i="5"/>
  <c r="E139" i="5"/>
  <c r="D139" i="5"/>
  <c r="E138" i="5"/>
  <c r="D138" i="5"/>
  <c r="E137" i="5"/>
  <c r="D137" i="5"/>
  <c r="E136" i="5"/>
  <c r="D136" i="5"/>
  <c r="E135" i="5"/>
  <c r="D135" i="5"/>
  <c r="E134" i="5"/>
  <c r="D134" i="5"/>
  <c r="E65" i="5"/>
  <c r="E64" i="5"/>
  <c r="D64" i="5"/>
  <c r="E63" i="5"/>
  <c r="D63" i="5"/>
  <c r="E15" i="5"/>
  <c r="D15" i="5"/>
  <c r="E14" i="5"/>
  <c r="D14" i="5"/>
  <c r="E13" i="5"/>
  <c r="D13" i="5"/>
  <c r="E12" i="5"/>
  <c r="D12" i="5"/>
  <c r="E22" i="3"/>
  <c r="E23" i="3"/>
  <c r="E140" i="4"/>
  <c r="E139" i="4"/>
  <c r="E135" i="4"/>
  <c r="E34" i="3"/>
  <c r="E35" i="3"/>
  <c r="F163" i="2"/>
  <c r="E164" i="2"/>
  <c r="C164" i="2"/>
  <c r="D164" i="2"/>
  <c r="F10" i="2"/>
  <c r="F11" i="2"/>
  <c r="F12" i="2"/>
  <c r="F13" i="2"/>
  <c r="F14" i="2"/>
  <c r="F15" i="2"/>
  <c r="F16" i="2"/>
  <c r="F17" i="2"/>
  <c r="F18" i="2"/>
  <c r="F19" i="2"/>
  <c r="F30" i="2"/>
  <c r="F28" i="2"/>
  <c r="E37" i="2"/>
  <c r="F37" i="2" s="1"/>
  <c r="F29" i="2"/>
  <c r="E38" i="2"/>
  <c r="E47" i="2" s="1"/>
  <c r="D49" i="2"/>
  <c r="D58" i="2" s="1"/>
  <c r="D67" i="2" s="1"/>
  <c r="D76" i="2" s="1"/>
  <c r="D85" i="2" s="1"/>
  <c r="D94" i="2" s="1"/>
  <c r="D103" i="2" s="1"/>
  <c r="D112" i="2" s="1"/>
  <c r="D58" i="3" l="1"/>
  <c r="E58" i="3" s="1"/>
  <c r="U114" i="5"/>
  <c r="U106" i="5" s="1"/>
  <c r="C25" i="6"/>
  <c r="B25" i="6"/>
  <c r="E15" i="6"/>
  <c r="B15" i="6"/>
  <c r="C15" i="6"/>
  <c r="F15" i="6"/>
  <c r="F198" i="5"/>
  <c r="I198" i="5" s="1"/>
  <c r="F109" i="5"/>
  <c r="I109" i="5" s="1"/>
  <c r="F331" i="5"/>
  <c r="K331" i="5" s="1"/>
  <c r="K333" i="5" s="1"/>
  <c r="K322" i="5" s="1"/>
  <c r="F342" i="5"/>
  <c r="K342" i="5" s="1"/>
  <c r="K344" i="5" s="1"/>
  <c r="K336" i="5" s="1"/>
  <c r="F363" i="5"/>
  <c r="K363" i="5" s="1"/>
  <c r="K365" i="5" s="1"/>
  <c r="K355" i="5" s="1"/>
  <c r="F199" i="5"/>
  <c r="I199" i="5" s="1"/>
  <c r="F110" i="5"/>
  <c r="I110" i="5" s="1"/>
  <c r="F52" i="5"/>
  <c r="I52" i="5" s="1"/>
  <c r="I55" i="5" s="1"/>
  <c r="I49" i="5" s="1"/>
  <c r="F11" i="6" s="1"/>
  <c r="F43" i="5"/>
  <c r="I43" i="5" s="1"/>
  <c r="I46" i="5" s="1"/>
  <c r="I40" i="5" s="1"/>
  <c r="F200" i="5"/>
  <c r="I200" i="5" s="1"/>
  <c r="F111" i="5"/>
  <c r="I111" i="5" s="1"/>
  <c r="F358" i="5"/>
  <c r="H358" i="5" s="1"/>
  <c r="F325" i="5"/>
  <c r="H325" i="5" s="1"/>
  <c r="F339" i="5"/>
  <c r="H339" i="5" s="1"/>
  <c r="F313" i="5"/>
  <c r="F374" i="5"/>
  <c r="I374" i="5" s="1"/>
  <c r="F359" i="5"/>
  <c r="H359" i="5" s="1"/>
  <c r="F326" i="5"/>
  <c r="H326" i="5" s="1"/>
  <c r="B50" i="30"/>
  <c r="C49" i="30"/>
  <c r="C47" i="30"/>
  <c r="C45" i="30"/>
  <c r="C39" i="30"/>
  <c r="C37" i="30"/>
  <c r="C34" i="30"/>
  <c r="C31" i="30"/>
  <c r="C29" i="30"/>
  <c r="C27" i="30"/>
  <c r="E24" i="30"/>
  <c r="B17" i="30"/>
  <c r="B11" i="30"/>
  <c r="B6" i="30"/>
  <c r="E50" i="30"/>
  <c r="C46" i="30"/>
  <c r="C40" i="30"/>
  <c r="B35" i="30"/>
  <c r="C28" i="30"/>
  <c r="B24" i="30"/>
  <c r="F13" i="30"/>
  <c r="J13" i="30" s="1"/>
  <c r="C6" i="30"/>
  <c r="C50" i="30"/>
  <c r="B48" i="30"/>
  <c r="B46" i="30"/>
  <c r="B44" i="30"/>
  <c r="B42" i="30"/>
  <c r="B40" i="30"/>
  <c r="B38" i="30"/>
  <c r="B36" i="30"/>
  <c r="E34" i="30"/>
  <c r="B33" i="30"/>
  <c r="E31" i="30"/>
  <c r="I31" i="30" s="1"/>
  <c r="B30" i="30"/>
  <c r="B28" i="30"/>
  <c r="B26" i="30"/>
  <c r="C21" i="30"/>
  <c r="B20" i="30"/>
  <c r="F18" i="30"/>
  <c r="C13" i="30"/>
  <c r="C9" i="30"/>
  <c r="B52" i="30"/>
  <c r="C42" i="30"/>
  <c r="C36" i="30"/>
  <c r="C30" i="30"/>
  <c r="C26" i="30"/>
  <c r="C20" i="30"/>
  <c r="B10" i="30"/>
  <c r="F52" i="30"/>
  <c r="B49" i="30"/>
  <c r="B47" i="30"/>
  <c r="B45" i="30"/>
  <c r="B39" i="30"/>
  <c r="B37" i="30"/>
  <c r="C35" i="30"/>
  <c r="B34" i="30"/>
  <c r="B31" i="30"/>
  <c r="B29" i="30"/>
  <c r="B27" i="30"/>
  <c r="C24" i="30"/>
  <c r="F20" i="30"/>
  <c r="B18" i="30"/>
  <c r="C10" i="30"/>
  <c r="F8" i="30"/>
  <c r="B21" i="30"/>
  <c r="C18" i="30"/>
  <c r="B13" i="30"/>
  <c r="B9" i="30"/>
  <c r="C17" i="30"/>
  <c r="C11" i="30"/>
  <c r="B8" i="30"/>
  <c r="F49" i="30"/>
  <c r="C44" i="30"/>
  <c r="C38" i="30"/>
  <c r="C33" i="30"/>
  <c r="G24" i="30"/>
  <c r="F17" i="30"/>
  <c r="C8" i="30"/>
  <c r="F29" i="30"/>
  <c r="F28" i="30"/>
  <c r="F36" i="30"/>
  <c r="F39" i="30"/>
  <c r="F10" i="30"/>
  <c r="F38" i="30"/>
  <c r="F40" i="30"/>
  <c r="J40" i="30" s="1"/>
  <c r="F31" i="30"/>
  <c r="J31" i="30" s="1"/>
  <c r="F30" i="30"/>
  <c r="J30" i="30" s="1"/>
  <c r="G31" i="30"/>
  <c r="H31" i="30" s="1"/>
  <c r="F26" i="30"/>
  <c r="F21" i="30"/>
  <c r="F27" i="30"/>
  <c r="E18" i="30"/>
  <c r="G18" i="30"/>
  <c r="F22" i="6"/>
  <c r="F22" i="30"/>
  <c r="D18" i="30"/>
  <c r="D17" i="6"/>
  <c r="D17" i="30"/>
  <c r="D20" i="6"/>
  <c r="D20" i="30"/>
  <c r="B51" i="6"/>
  <c r="C51" i="6"/>
  <c r="E51" i="6"/>
  <c r="B30" i="6"/>
  <c r="F30" i="6"/>
  <c r="C30" i="6"/>
  <c r="C50" i="6"/>
  <c r="B50" i="6"/>
  <c r="F50" i="6"/>
  <c r="B49" i="6"/>
  <c r="F41" i="6"/>
  <c r="B11" i="6"/>
  <c r="C11" i="6"/>
  <c r="F40" i="6"/>
  <c r="C40" i="6"/>
  <c r="B40" i="6"/>
  <c r="F39" i="6"/>
  <c r="C39" i="6"/>
  <c r="B39" i="6"/>
  <c r="B29" i="6"/>
  <c r="B28" i="6"/>
  <c r="C29" i="6"/>
  <c r="C28" i="6"/>
  <c r="F29" i="6"/>
  <c r="F28" i="6"/>
  <c r="E31" i="2"/>
  <c r="F31" i="2" s="1"/>
  <c r="F32" i="2" s="1"/>
  <c r="F33" i="2" s="1"/>
  <c r="E8" i="4" s="1"/>
  <c r="F54" i="5" s="1"/>
  <c r="J54" i="5" s="1"/>
  <c r="J55" i="5" s="1"/>
  <c r="J49" i="5" s="1"/>
  <c r="C18" i="6"/>
  <c r="B18" i="6"/>
  <c r="F18" i="6"/>
  <c r="E18" i="6"/>
  <c r="C21" i="6"/>
  <c r="B21" i="6"/>
  <c r="F21" i="6"/>
  <c r="I203" i="5"/>
  <c r="I195" i="5" s="1"/>
  <c r="F307" i="5"/>
  <c r="F146" i="5"/>
  <c r="H146" i="5" s="1"/>
  <c r="F158" i="5"/>
  <c r="H158" i="5" s="1"/>
  <c r="F472" i="5"/>
  <c r="H472" i="5" s="1"/>
  <c r="F309" i="5"/>
  <c r="F476" i="5"/>
  <c r="K476" i="5" s="1"/>
  <c r="K478" i="5" s="1"/>
  <c r="K468" i="5" s="1"/>
  <c r="F317" i="5"/>
  <c r="E40" i="7"/>
  <c r="G40" i="7" s="1"/>
  <c r="T14" i="7"/>
  <c r="E35" i="7" s="1"/>
  <c r="G35" i="7" s="1"/>
  <c r="G34" i="7"/>
  <c r="C24" i="6"/>
  <c r="E24" i="6"/>
  <c r="B24" i="6"/>
  <c r="B41" i="6"/>
  <c r="C41" i="6"/>
  <c r="C38" i="6"/>
  <c r="B38" i="6"/>
  <c r="C36" i="6"/>
  <c r="B37" i="6"/>
  <c r="F37" i="6"/>
  <c r="C34" i="6"/>
  <c r="B36" i="6"/>
  <c r="C37" i="6"/>
  <c r="B34" i="6"/>
  <c r="C35" i="6"/>
  <c r="C27" i="6"/>
  <c r="B27" i="6"/>
  <c r="C32" i="6"/>
  <c r="B32" i="6"/>
  <c r="E35" i="6"/>
  <c r="C31" i="6"/>
  <c r="B31" i="6"/>
  <c r="B35" i="6"/>
  <c r="C10" i="6"/>
  <c r="F10" i="6"/>
  <c r="B10" i="6"/>
  <c r="E32" i="6"/>
  <c r="F27" i="6"/>
  <c r="F32" i="6"/>
  <c r="L32" i="6" s="1"/>
  <c r="F31" i="6"/>
  <c r="L31" i="6" s="1"/>
  <c r="D68" i="3"/>
  <c r="E68" i="3" s="1"/>
  <c r="E21" i="3"/>
  <c r="D19" i="3"/>
  <c r="E19" i="3" s="1"/>
  <c r="D52" i="3"/>
  <c r="E52" i="3" s="1"/>
  <c r="E11" i="3"/>
  <c r="F38" i="2"/>
  <c r="E40" i="2" s="1"/>
  <c r="F40" i="2" s="1"/>
  <c r="F41" i="2" s="1"/>
  <c r="F42" i="2" s="1"/>
  <c r="E9" i="4" s="1"/>
  <c r="R113" i="5" s="1"/>
  <c r="V113" i="5" s="1"/>
  <c r="V114" i="5" s="1"/>
  <c r="V106" i="5" s="1"/>
  <c r="E48" i="2"/>
  <c r="E57" i="2" s="1"/>
  <c r="F57" i="2" s="1"/>
  <c r="D97" i="3"/>
  <c r="E97" i="3" s="1"/>
  <c r="F20" i="2"/>
  <c r="D90" i="3"/>
  <c r="D59" i="3"/>
  <c r="E59" i="3" s="1"/>
  <c r="H41" i="16"/>
  <c r="F164" i="2"/>
  <c r="E33" i="4" s="1"/>
  <c r="J24" i="3"/>
  <c r="M11" i="16"/>
  <c r="M23" i="16"/>
  <c r="H44" i="16"/>
  <c r="E43" i="16"/>
  <c r="G43" i="16"/>
  <c r="G34" i="16"/>
  <c r="E34" i="16"/>
  <c r="G35" i="16"/>
  <c r="E35" i="16"/>
  <c r="G37" i="16"/>
  <c r="E37" i="16"/>
  <c r="G38" i="16"/>
  <c r="E38" i="16"/>
  <c r="G39" i="16"/>
  <c r="E39" i="16"/>
  <c r="G40" i="16"/>
  <c r="E40" i="16"/>
  <c r="G41" i="16"/>
  <c r="E41" i="16"/>
  <c r="E53" i="21"/>
  <c r="E69" i="21"/>
  <c r="F449" i="5"/>
  <c r="H449" i="5" s="1"/>
  <c r="F418" i="5"/>
  <c r="H418" i="5" s="1"/>
  <c r="E51" i="16"/>
  <c r="D44" i="16"/>
  <c r="M33" i="16" s="1"/>
  <c r="G33" i="16"/>
  <c r="E33" i="16"/>
  <c r="D104" i="21"/>
  <c r="E104" i="21" s="1"/>
  <c r="E96" i="21"/>
  <c r="D46" i="20"/>
  <c r="E37" i="20"/>
  <c r="E61" i="21"/>
  <c r="E84" i="21"/>
  <c r="C67" i="20"/>
  <c r="D106" i="21"/>
  <c r="E106" i="21" s="1"/>
  <c r="E98" i="21"/>
  <c r="D47" i="20"/>
  <c r="E38" i="20"/>
  <c r="D57" i="20"/>
  <c r="E48" i="20"/>
  <c r="D31" i="20"/>
  <c r="E31" i="20" s="1"/>
  <c r="E32" i="20" s="1"/>
  <c r="E33" i="20" s="1"/>
  <c r="E46" i="2"/>
  <c r="F53" i="6"/>
  <c r="B53" i="6"/>
  <c r="K425" i="5"/>
  <c r="K415" i="5" s="1"/>
  <c r="I443" i="5"/>
  <c r="I437" i="5" s="1"/>
  <c r="I434" i="5"/>
  <c r="I428" i="5" s="1"/>
  <c r="I455" i="5"/>
  <c r="I446" i="5" s="1"/>
  <c r="I465" i="5"/>
  <c r="K189" i="5"/>
  <c r="K178" i="5" s="1"/>
  <c r="I189" i="5"/>
  <c r="I178" i="5" s="1"/>
  <c r="I37" i="5"/>
  <c r="I31" i="5" s="1"/>
  <c r="J16" i="5"/>
  <c r="K94" i="5"/>
  <c r="K88" i="5" s="1"/>
  <c r="K140" i="5"/>
  <c r="K132" i="5" s="1"/>
  <c r="K152" i="5"/>
  <c r="I16" i="5"/>
  <c r="I10" i="5" s="1"/>
  <c r="I152" i="5"/>
  <c r="I143" i="5" s="1"/>
  <c r="F431" i="5"/>
  <c r="H431" i="5" s="1"/>
  <c r="F423" i="5"/>
  <c r="I423" i="5" s="1"/>
  <c r="F135" i="5"/>
  <c r="H135" i="5" s="1"/>
  <c r="D88" i="3"/>
  <c r="E88" i="3" s="1"/>
  <c r="F471" i="5"/>
  <c r="H471" i="5" s="1"/>
  <c r="F25" i="5"/>
  <c r="H25" i="5" s="1"/>
  <c r="H28" i="5" s="1"/>
  <c r="H22" i="5" s="1"/>
  <c r="F34" i="5"/>
  <c r="H34" i="5" s="1"/>
  <c r="F64" i="5"/>
  <c r="H64" i="5" s="1"/>
  <c r="B9" i="6"/>
  <c r="B8" i="6"/>
  <c r="F419" i="5"/>
  <c r="H419" i="5" s="1"/>
  <c r="C45" i="6"/>
  <c r="B48" i="6"/>
  <c r="F20" i="6"/>
  <c r="C47" i="6"/>
  <c r="B6" i="6"/>
  <c r="B46" i="6"/>
  <c r="B43" i="6"/>
  <c r="C6" i="6"/>
  <c r="B13" i="6"/>
  <c r="C20" i="6"/>
  <c r="C8" i="6"/>
  <c r="B45" i="6"/>
  <c r="C48" i="6"/>
  <c r="F13" i="6"/>
  <c r="B47" i="6"/>
  <c r="C9" i="6"/>
  <c r="F8" i="6"/>
  <c r="C13" i="6"/>
  <c r="C17" i="6"/>
  <c r="C43" i="6"/>
  <c r="B17" i="6"/>
  <c r="B20" i="6"/>
  <c r="C46" i="6"/>
  <c r="F17" i="6"/>
  <c r="D16" i="3"/>
  <c r="D28" i="3" s="1"/>
  <c r="E28" i="3" s="1"/>
  <c r="D49" i="3"/>
  <c r="E8" i="3"/>
  <c r="D65" i="3"/>
  <c r="D80" i="3" s="1"/>
  <c r="E80" i="3" s="1"/>
  <c r="D121" i="2"/>
  <c r="E56" i="2"/>
  <c r="F47" i="2"/>
  <c r="E44" i="3"/>
  <c r="D82" i="3"/>
  <c r="E82" i="3" s="1"/>
  <c r="D81" i="3"/>
  <c r="E81" i="3" s="1"/>
  <c r="I15" i="6" l="1"/>
  <c r="H15" i="6"/>
  <c r="H18" i="6"/>
  <c r="I18" i="6"/>
  <c r="H32" i="6"/>
  <c r="I32" i="6"/>
  <c r="H24" i="6"/>
  <c r="I24" i="6"/>
  <c r="D105" i="3"/>
  <c r="E105" i="3" s="1"/>
  <c r="F252" i="5"/>
  <c r="H252" i="5" s="1"/>
  <c r="H257" i="5" s="1"/>
  <c r="R108" i="5"/>
  <c r="T108" i="5" s="1"/>
  <c r="T114" i="5" s="1"/>
  <c r="F48" i="2"/>
  <c r="F11" i="30"/>
  <c r="I114" i="5"/>
  <c r="I106" i="5" s="1"/>
  <c r="F25" i="6" s="1"/>
  <c r="D31" i="3"/>
  <c r="E31" i="3" s="1"/>
  <c r="E12" i="3"/>
  <c r="E75" i="4" s="1"/>
  <c r="H250" i="5"/>
  <c r="F246" i="5"/>
  <c r="J246" i="5" s="1"/>
  <c r="J247" i="5" s="1"/>
  <c r="J240" i="5" s="1"/>
  <c r="F256" i="5"/>
  <c r="J256" i="5" s="1"/>
  <c r="J257" i="5" s="1"/>
  <c r="J250" i="5" s="1"/>
  <c r="H24" i="30"/>
  <c r="I24" i="30"/>
  <c r="H18" i="30"/>
  <c r="K31" i="30"/>
  <c r="F43" i="6"/>
  <c r="F42" i="30"/>
  <c r="F47" i="6"/>
  <c r="F46" i="30"/>
  <c r="F9" i="6"/>
  <c r="F9" i="30"/>
  <c r="F46" i="6"/>
  <c r="F45" i="30"/>
  <c r="F6" i="6"/>
  <c r="F6" i="30"/>
  <c r="J20" i="30"/>
  <c r="J17" i="30"/>
  <c r="F51" i="5"/>
  <c r="H51" i="5" s="1"/>
  <c r="H55" i="5" s="1"/>
  <c r="F242" i="5"/>
  <c r="H242" i="5" s="1"/>
  <c r="H247" i="5" s="1"/>
  <c r="F108" i="5"/>
  <c r="H108" i="5" s="1"/>
  <c r="H114" i="5" s="1"/>
  <c r="H106" i="5" s="1"/>
  <c r="F371" i="5"/>
  <c r="H371" i="5" s="1"/>
  <c r="H376" i="5" s="1"/>
  <c r="H369" i="5" s="1"/>
  <c r="F324" i="5"/>
  <c r="H324" i="5" s="1"/>
  <c r="H333" i="5" s="1"/>
  <c r="H322" i="5" s="1"/>
  <c r="F357" i="5"/>
  <c r="H357" i="5" s="1"/>
  <c r="H365" i="5" s="1"/>
  <c r="H355" i="5" s="1"/>
  <c r="F349" i="5"/>
  <c r="H349" i="5" s="1"/>
  <c r="H352" i="5" s="1"/>
  <c r="H347" i="5" s="1"/>
  <c r="F338" i="5"/>
  <c r="H338" i="5" s="1"/>
  <c r="H344" i="5" s="1"/>
  <c r="H336" i="5" s="1"/>
  <c r="F42" i="5"/>
  <c r="H42" i="5" s="1"/>
  <c r="H46" i="5" s="1"/>
  <c r="H40" i="5" s="1"/>
  <c r="F498" i="5"/>
  <c r="J498" i="5" s="1"/>
  <c r="J499" i="5" s="1"/>
  <c r="J493" i="5" s="1"/>
  <c r="F45" i="5"/>
  <c r="J45" i="5" s="1"/>
  <c r="J46" i="5" s="1"/>
  <c r="F202" i="5"/>
  <c r="J202" i="5" s="1"/>
  <c r="J203" i="5" s="1"/>
  <c r="J195" i="5" s="1"/>
  <c r="F113" i="5"/>
  <c r="J113" i="5" s="1"/>
  <c r="J114" i="5" s="1"/>
  <c r="F351" i="5"/>
  <c r="J351" i="5" s="1"/>
  <c r="J352" i="5" s="1"/>
  <c r="F375" i="5"/>
  <c r="J375" i="5" s="1"/>
  <c r="J376" i="5" s="1"/>
  <c r="J369" i="5" s="1"/>
  <c r="D83" i="3"/>
  <c r="E83" i="3" s="1"/>
  <c r="E84" i="3" s="1"/>
  <c r="E83" i="4" s="1"/>
  <c r="F90" i="5"/>
  <c r="H90" i="5" s="1"/>
  <c r="H94" i="5" s="1"/>
  <c r="H88" i="5" s="1"/>
  <c r="F442" i="5"/>
  <c r="J442" i="5" s="1"/>
  <c r="J443" i="5" s="1"/>
  <c r="J437" i="5" s="1"/>
  <c r="F27" i="5"/>
  <c r="J27" i="5" s="1"/>
  <c r="J28" i="5" s="1"/>
  <c r="J22" i="5" s="1"/>
  <c r="F22" i="5" s="1"/>
  <c r="F464" i="5"/>
  <c r="J464" i="5" s="1"/>
  <c r="J465" i="5" s="1"/>
  <c r="J458" i="5" s="1"/>
  <c r="F439" i="5"/>
  <c r="H439" i="5" s="1"/>
  <c r="H443" i="5" s="1"/>
  <c r="H437" i="5" s="1"/>
  <c r="F448" i="5"/>
  <c r="H448" i="5" s="1"/>
  <c r="H455" i="5" s="1"/>
  <c r="H446" i="5" s="1"/>
  <c r="F460" i="5"/>
  <c r="H460" i="5" s="1"/>
  <c r="H465" i="5" s="1"/>
  <c r="H458" i="5" s="1"/>
  <c r="F495" i="5"/>
  <c r="H495" i="5" s="1"/>
  <c r="H499" i="5" s="1"/>
  <c r="H493" i="5" s="1"/>
  <c r="F470" i="5"/>
  <c r="H470" i="5" s="1"/>
  <c r="H478" i="5" s="1"/>
  <c r="H468" i="5" s="1"/>
  <c r="F33" i="5"/>
  <c r="H33" i="5" s="1"/>
  <c r="H37" i="5" s="1"/>
  <c r="H31" i="5" s="1"/>
  <c r="F306" i="5"/>
  <c r="F381" i="5"/>
  <c r="H381" i="5" s="1"/>
  <c r="H387" i="5" s="1"/>
  <c r="F403" i="5"/>
  <c r="H403" i="5" s="1"/>
  <c r="H409" i="5" s="1"/>
  <c r="H401" i="5" s="1"/>
  <c r="F392" i="5"/>
  <c r="H392" i="5" s="1"/>
  <c r="H398" i="5" s="1"/>
  <c r="F197" i="5"/>
  <c r="H197" i="5" s="1"/>
  <c r="H203" i="5" s="1"/>
  <c r="F24" i="5"/>
  <c r="F169" i="5"/>
  <c r="F12" i="5"/>
  <c r="H12" i="5" s="1"/>
  <c r="H16" i="5" s="1"/>
  <c r="H10" i="5" s="1"/>
  <c r="K24" i="6"/>
  <c r="F273" i="5"/>
  <c r="H273" i="5" s="1"/>
  <c r="H278" i="5" s="1"/>
  <c r="F263" i="5"/>
  <c r="H263" i="5" s="1"/>
  <c r="H268" i="5" s="1"/>
  <c r="F232" i="5"/>
  <c r="H232" i="5" s="1"/>
  <c r="H237" i="5" s="1"/>
  <c r="F222" i="5"/>
  <c r="H222" i="5" s="1"/>
  <c r="F71" i="5"/>
  <c r="H71" i="5" s="1"/>
  <c r="H74" i="5" s="1"/>
  <c r="F157" i="5"/>
  <c r="H157" i="5" s="1"/>
  <c r="H164" i="5" s="1"/>
  <c r="F433" i="5"/>
  <c r="J433" i="5" s="1"/>
  <c r="J434" i="5" s="1"/>
  <c r="J428" i="5" s="1"/>
  <c r="F417" i="5"/>
  <c r="H417" i="5" s="1"/>
  <c r="H425" i="5" s="1"/>
  <c r="H415" i="5" s="1"/>
  <c r="F63" i="5"/>
  <c r="H63" i="5" s="1"/>
  <c r="H66" i="5" s="1"/>
  <c r="H61" i="5" s="1"/>
  <c r="F236" i="5"/>
  <c r="J236" i="5" s="1"/>
  <c r="J237" i="5" s="1"/>
  <c r="J230" i="5" s="1"/>
  <c r="F226" i="5"/>
  <c r="J226" i="5" s="1"/>
  <c r="F36" i="5"/>
  <c r="J36" i="5" s="1"/>
  <c r="J37" i="5" s="1"/>
  <c r="J31" i="5" s="1"/>
  <c r="F134" i="5"/>
  <c r="H134" i="5" s="1"/>
  <c r="H140" i="5" s="1"/>
  <c r="H132" i="5" s="1"/>
  <c r="F180" i="5"/>
  <c r="H180" i="5" s="1"/>
  <c r="H189" i="5" s="1"/>
  <c r="H178" i="5" s="1"/>
  <c r="F145" i="5"/>
  <c r="H145" i="5" s="1"/>
  <c r="H152" i="5" s="1"/>
  <c r="H143" i="5" s="1"/>
  <c r="F430" i="5"/>
  <c r="H430" i="5" s="1"/>
  <c r="H434" i="5" s="1"/>
  <c r="H428" i="5" s="1"/>
  <c r="E46" i="30" s="1"/>
  <c r="D60" i="3"/>
  <c r="E60" i="3" s="1"/>
  <c r="E66" i="2"/>
  <c r="F66" i="2" s="1"/>
  <c r="D98" i="3"/>
  <c r="E90" i="3"/>
  <c r="E91" i="3" s="1"/>
  <c r="E84" i="4" s="1"/>
  <c r="M7" i="16"/>
  <c r="M8" i="16"/>
  <c r="L14" i="6" s="1"/>
  <c r="E44" i="16"/>
  <c r="G44" i="16"/>
  <c r="M36" i="16" s="1"/>
  <c r="D18" i="6" s="1"/>
  <c r="E58" i="16"/>
  <c r="E107" i="21"/>
  <c r="C76" i="20"/>
  <c r="D55" i="20"/>
  <c r="E46" i="20"/>
  <c r="M22" i="16"/>
  <c r="M21" i="16"/>
  <c r="D66" i="20"/>
  <c r="E57" i="20"/>
  <c r="D56" i="20"/>
  <c r="E47" i="20"/>
  <c r="D40" i="20"/>
  <c r="E40" i="20" s="1"/>
  <c r="E41" i="20" s="1"/>
  <c r="E42" i="20" s="1"/>
  <c r="E99" i="21"/>
  <c r="F46" i="2"/>
  <c r="E55" i="2"/>
  <c r="E16" i="3"/>
  <c r="E65" i="3"/>
  <c r="E69" i="3" s="1"/>
  <c r="E81" i="4" s="1"/>
  <c r="D96" i="3"/>
  <c r="D104" i="3" s="1"/>
  <c r="E104" i="3" s="1"/>
  <c r="D57" i="3"/>
  <c r="E57" i="3" s="1"/>
  <c r="E49" i="3"/>
  <c r="E53" i="3" s="1"/>
  <c r="E79" i="4" s="1"/>
  <c r="I458" i="5"/>
  <c r="D130" i="2"/>
  <c r="E78" i="4"/>
  <c r="D74" i="3"/>
  <c r="E74" i="3" s="1"/>
  <c r="E76" i="3" s="1"/>
  <c r="E82" i="4" s="1"/>
  <c r="E65" i="2"/>
  <c r="F56" i="2"/>
  <c r="K143" i="5"/>
  <c r="J10" i="5"/>
  <c r="T106" i="5" l="1"/>
  <c r="R106" i="5"/>
  <c r="E49" i="2"/>
  <c r="F49" i="2" s="1"/>
  <c r="F50" i="2" s="1"/>
  <c r="F51" i="2" s="1"/>
  <c r="E10" i="4" s="1"/>
  <c r="F486" i="5" s="1"/>
  <c r="J486" i="5" s="1"/>
  <c r="J487" i="5" s="1"/>
  <c r="J481" i="5" s="1"/>
  <c r="E49" i="30" s="1"/>
  <c r="E75" i="2"/>
  <c r="E47" i="30"/>
  <c r="E30" i="6"/>
  <c r="E29" i="30"/>
  <c r="F250" i="5"/>
  <c r="E6" i="30"/>
  <c r="E9" i="30"/>
  <c r="K24" i="30"/>
  <c r="E8" i="30"/>
  <c r="G8" i="30"/>
  <c r="F48" i="6"/>
  <c r="F47" i="30"/>
  <c r="E52" i="30"/>
  <c r="F481" i="5"/>
  <c r="E50" i="6"/>
  <c r="H49" i="5"/>
  <c r="F49" i="5"/>
  <c r="H240" i="5"/>
  <c r="F240" i="5"/>
  <c r="J106" i="5"/>
  <c r="E25" i="6" s="1"/>
  <c r="F106" i="5"/>
  <c r="J40" i="5"/>
  <c r="E10" i="6" s="1"/>
  <c r="F40" i="5"/>
  <c r="J347" i="5"/>
  <c r="E37" i="6" s="1"/>
  <c r="F347" i="5"/>
  <c r="F310" i="5"/>
  <c r="F372" i="5"/>
  <c r="I372" i="5" s="1"/>
  <c r="I376" i="5" s="1"/>
  <c r="F340" i="5"/>
  <c r="I340" i="5" s="1"/>
  <c r="I344" i="5" s="1"/>
  <c r="F327" i="5"/>
  <c r="F360" i="5"/>
  <c r="I360" i="5" s="1"/>
  <c r="I365" i="5" s="1"/>
  <c r="F493" i="5"/>
  <c r="G52" i="30" s="1"/>
  <c r="E8" i="6"/>
  <c r="E53" i="6"/>
  <c r="H390" i="5"/>
  <c r="H379" i="5"/>
  <c r="H195" i="5"/>
  <c r="F195" i="5"/>
  <c r="M24" i="6"/>
  <c r="H155" i="5"/>
  <c r="J220" i="5"/>
  <c r="J227" i="5"/>
  <c r="H261" i="5"/>
  <c r="F277" i="5"/>
  <c r="J277" i="5" s="1"/>
  <c r="J278" i="5" s="1"/>
  <c r="J271" i="5" s="1"/>
  <c r="F267" i="5"/>
  <c r="J267" i="5" s="1"/>
  <c r="J268" i="5" s="1"/>
  <c r="J261" i="5" s="1"/>
  <c r="H220" i="5"/>
  <c r="H227" i="5"/>
  <c r="H271" i="5"/>
  <c r="E30" i="30" s="1"/>
  <c r="I30" i="30" s="1"/>
  <c r="H69" i="5"/>
  <c r="H230" i="5"/>
  <c r="F230" i="5"/>
  <c r="G27" i="30" s="1"/>
  <c r="H27" i="30" s="1"/>
  <c r="E61" i="3"/>
  <c r="E80" i="4" s="1"/>
  <c r="F75" i="2"/>
  <c r="E84" i="2"/>
  <c r="E98" i="3"/>
  <c r="D106" i="3"/>
  <c r="E106" i="3" s="1"/>
  <c r="E107" i="3" s="1"/>
  <c r="E86" i="4" s="1"/>
  <c r="M9" i="16"/>
  <c r="M25" i="16" s="1"/>
  <c r="F10" i="5"/>
  <c r="L41" i="6"/>
  <c r="L13" i="6"/>
  <c r="F428" i="5"/>
  <c r="E47" i="6"/>
  <c r="D64" i="20"/>
  <c r="E55" i="20"/>
  <c r="C85" i="20"/>
  <c r="D65" i="20"/>
  <c r="E56" i="20"/>
  <c r="D75" i="20"/>
  <c r="E66" i="20"/>
  <c r="D49" i="20"/>
  <c r="E49" i="20" s="1"/>
  <c r="E50" i="20" s="1"/>
  <c r="E51" i="20" s="1"/>
  <c r="E19" i="26"/>
  <c r="G19" i="26" s="1"/>
  <c r="F437" i="5"/>
  <c r="F458" i="5"/>
  <c r="E20" i="26"/>
  <c r="E64" i="2"/>
  <c r="F55" i="2"/>
  <c r="E48" i="6"/>
  <c r="E9" i="6"/>
  <c r="F31" i="5"/>
  <c r="E6" i="6"/>
  <c r="E96" i="3"/>
  <c r="E74" i="2"/>
  <c r="F65" i="2"/>
  <c r="F473" i="5"/>
  <c r="I473" i="5" s="1"/>
  <c r="I478" i="5" s="1"/>
  <c r="F454" i="5"/>
  <c r="J454" i="5" s="1"/>
  <c r="J455" i="5" s="1"/>
  <c r="E58" i="2"/>
  <c r="F58" i="2" s="1"/>
  <c r="F59" i="2" s="1"/>
  <c r="D139" i="2"/>
  <c r="I25" i="6" l="1"/>
  <c r="H25" i="6"/>
  <c r="K8" i="6"/>
  <c r="H8" i="6"/>
  <c r="I8" i="6"/>
  <c r="E26" i="30"/>
  <c r="I26" i="30" s="1"/>
  <c r="G49" i="30"/>
  <c r="G29" i="30"/>
  <c r="H29" i="30" s="1"/>
  <c r="I52" i="30"/>
  <c r="H52" i="30"/>
  <c r="G10" i="30"/>
  <c r="G28" i="30"/>
  <c r="H28" i="30" s="1"/>
  <c r="E36" i="30"/>
  <c r="G9" i="30"/>
  <c r="E11" i="6"/>
  <c r="E11" i="30"/>
  <c r="E28" i="6"/>
  <c r="E27" i="30"/>
  <c r="G36" i="30"/>
  <c r="G11" i="30"/>
  <c r="H11" i="30" s="1"/>
  <c r="I8" i="30"/>
  <c r="H8" i="30"/>
  <c r="G47" i="30"/>
  <c r="G46" i="30"/>
  <c r="G6" i="30"/>
  <c r="E29" i="6"/>
  <c r="E28" i="30"/>
  <c r="E10" i="30"/>
  <c r="E31" i="6"/>
  <c r="I327" i="5"/>
  <c r="I333" i="5" s="1"/>
  <c r="F507" i="5"/>
  <c r="I507" i="5" s="1"/>
  <c r="F512" i="5"/>
  <c r="I512" i="5" s="1"/>
  <c r="F308" i="5"/>
  <c r="I308" i="5" s="1"/>
  <c r="I319" i="5" s="1"/>
  <c r="I322" i="5"/>
  <c r="I336" i="5"/>
  <c r="I369" i="5"/>
  <c r="F369" i="5"/>
  <c r="I355" i="5"/>
  <c r="L20" i="6"/>
  <c r="E27" i="6"/>
  <c r="K27" i="6" s="1"/>
  <c r="F261" i="5"/>
  <c r="F220" i="5"/>
  <c r="F271" i="5"/>
  <c r="E99" i="3"/>
  <c r="E85" i="4" s="1"/>
  <c r="E93" i="2"/>
  <c r="F84" i="2"/>
  <c r="M28" i="16"/>
  <c r="D73" i="20"/>
  <c r="E64" i="20"/>
  <c r="D84" i="20"/>
  <c r="E75" i="20"/>
  <c r="D74" i="20"/>
  <c r="E65" i="20"/>
  <c r="C94" i="20"/>
  <c r="D58" i="20"/>
  <c r="E58" i="20" s="1"/>
  <c r="E59" i="20" s="1"/>
  <c r="E73" i="2"/>
  <c r="F64" i="2"/>
  <c r="E67" i="2" s="1"/>
  <c r="F67" i="2" s="1"/>
  <c r="F68" i="2" s="1"/>
  <c r="F69" i="2" s="1"/>
  <c r="E12" i="4" s="1"/>
  <c r="D32" i="3"/>
  <c r="E32" i="3" s="1"/>
  <c r="E36" i="3" s="1"/>
  <c r="E77" i="4" s="1"/>
  <c r="F60" i="2"/>
  <c r="E11" i="4" s="1"/>
  <c r="F163" i="5" s="1"/>
  <c r="J163" i="5" s="1"/>
  <c r="J164" i="5" s="1"/>
  <c r="D20" i="3"/>
  <c r="E20" i="3" s="1"/>
  <c r="E24" i="3" s="1"/>
  <c r="E76" i="4" s="1"/>
  <c r="F420" i="5" s="1"/>
  <c r="I420" i="5" s="1"/>
  <c r="I425" i="5" s="1"/>
  <c r="D148" i="2"/>
  <c r="J446" i="5"/>
  <c r="F446" i="5"/>
  <c r="I468" i="5"/>
  <c r="F74" i="2"/>
  <c r="E83" i="2"/>
  <c r="M8" i="6" l="1"/>
  <c r="I30" i="6"/>
  <c r="H30" i="6"/>
  <c r="K53" i="6"/>
  <c r="H53" i="6"/>
  <c r="I53" i="6"/>
  <c r="H6" i="6"/>
  <c r="I6" i="6"/>
  <c r="K48" i="6"/>
  <c r="I48" i="6"/>
  <c r="H48" i="6"/>
  <c r="I11" i="6"/>
  <c r="H11" i="6"/>
  <c r="H9" i="6"/>
  <c r="I9" i="6"/>
  <c r="H28" i="6"/>
  <c r="I28" i="6"/>
  <c r="K10" i="6"/>
  <c r="I10" i="6"/>
  <c r="H10" i="6"/>
  <c r="I37" i="6"/>
  <c r="H37" i="6"/>
  <c r="K47" i="6"/>
  <c r="I47" i="6"/>
  <c r="H47" i="6"/>
  <c r="I29" i="6"/>
  <c r="H29" i="6"/>
  <c r="H50" i="6"/>
  <c r="I50" i="6"/>
  <c r="K50" i="6"/>
  <c r="K9" i="6"/>
  <c r="H49" i="30"/>
  <c r="I49" i="30"/>
  <c r="G26" i="30"/>
  <c r="F38" i="6"/>
  <c r="F37" i="30"/>
  <c r="F34" i="6"/>
  <c r="F33" i="30"/>
  <c r="H6" i="30"/>
  <c r="I6" i="30"/>
  <c r="E46" i="6"/>
  <c r="E45" i="30"/>
  <c r="G30" i="30"/>
  <c r="H30" i="30" s="1"/>
  <c r="K30" i="30" s="1"/>
  <c r="F36" i="6"/>
  <c r="F35" i="30"/>
  <c r="G45" i="30"/>
  <c r="I46" i="30"/>
  <c r="H46" i="30"/>
  <c r="I36" i="30"/>
  <c r="H36" i="30"/>
  <c r="I9" i="30"/>
  <c r="H9" i="30"/>
  <c r="K8" i="30"/>
  <c r="K52" i="30"/>
  <c r="H47" i="30"/>
  <c r="I47" i="30"/>
  <c r="I10" i="30"/>
  <c r="H10" i="30"/>
  <c r="M53" i="6"/>
  <c r="I513" i="5"/>
  <c r="I502" i="5" s="1"/>
  <c r="F50" i="30" s="1"/>
  <c r="I304" i="5"/>
  <c r="J155" i="5"/>
  <c r="F155" i="5"/>
  <c r="F93" i="2"/>
  <c r="E102" i="2"/>
  <c r="M47" i="6"/>
  <c r="M9" i="6"/>
  <c r="K37" i="6"/>
  <c r="L17" i="6"/>
  <c r="E60" i="20"/>
  <c r="D32" i="21"/>
  <c r="E32" i="21" s="1"/>
  <c r="E36" i="21" s="1"/>
  <c r="D20" i="21"/>
  <c r="E20" i="21" s="1"/>
  <c r="E24" i="21" s="1"/>
  <c r="C103" i="20"/>
  <c r="D83" i="20"/>
  <c r="E74" i="20"/>
  <c r="D93" i="20"/>
  <c r="E84" i="20"/>
  <c r="D82" i="20"/>
  <c r="E73" i="20"/>
  <c r="K32" i="6"/>
  <c r="D67" i="20"/>
  <c r="E67" i="20" s="1"/>
  <c r="E68" i="20" s="1"/>
  <c r="E69" i="20" s="1"/>
  <c r="K31" i="6"/>
  <c r="F73" i="2"/>
  <c r="E76" i="2" s="1"/>
  <c r="F76" i="2" s="1"/>
  <c r="F77" i="2" s="1"/>
  <c r="F78" i="2" s="1"/>
  <c r="E13" i="4" s="1"/>
  <c r="F73" i="5" s="1"/>
  <c r="J73" i="5" s="1"/>
  <c r="J74" i="5" s="1"/>
  <c r="E82" i="2"/>
  <c r="E92" i="2"/>
  <c r="F83" i="2"/>
  <c r="I415" i="5"/>
  <c r="F151" i="5"/>
  <c r="J151" i="5" s="1"/>
  <c r="J152" i="5" s="1"/>
  <c r="F93" i="5"/>
  <c r="J93" i="5" s="1"/>
  <c r="J94" i="5" s="1"/>
  <c r="F139" i="5"/>
  <c r="J139" i="5" s="1"/>
  <c r="J140" i="5" s="1"/>
  <c r="M50" i="6" l="1"/>
  <c r="M48" i="6"/>
  <c r="H46" i="6"/>
  <c r="I46" i="6"/>
  <c r="M31" i="6"/>
  <c r="H31" i="6"/>
  <c r="I31" i="6"/>
  <c r="M10" i="6"/>
  <c r="M27" i="6"/>
  <c r="I27" i="6"/>
  <c r="H27" i="6"/>
  <c r="L27" i="6"/>
  <c r="L54" i="6" s="1"/>
  <c r="K46" i="6"/>
  <c r="K47" i="30"/>
  <c r="K49" i="30"/>
  <c r="H26" i="30"/>
  <c r="K26" i="30" s="1"/>
  <c r="J26" i="30"/>
  <c r="J53" i="30" s="1"/>
  <c r="K6" i="30"/>
  <c r="K9" i="30"/>
  <c r="K46" i="30"/>
  <c r="F45" i="6"/>
  <c r="F44" i="30"/>
  <c r="E21" i="6"/>
  <c r="E21" i="30"/>
  <c r="G21" i="30"/>
  <c r="H21" i="30" s="1"/>
  <c r="F304" i="5"/>
  <c r="F34" i="30"/>
  <c r="I45" i="30"/>
  <c r="H45" i="30"/>
  <c r="K10" i="30"/>
  <c r="K36" i="30"/>
  <c r="F502" i="5"/>
  <c r="F51" i="6"/>
  <c r="F35" i="6"/>
  <c r="J69" i="5"/>
  <c r="F69" i="5"/>
  <c r="F102" i="2"/>
  <c r="E111" i="2"/>
  <c r="M32" i="6"/>
  <c r="M37" i="6"/>
  <c r="D76" i="20"/>
  <c r="E76" i="20" s="1"/>
  <c r="E77" i="20" s="1"/>
  <c r="E78" i="20" s="1"/>
  <c r="C112" i="20"/>
  <c r="D91" i="20"/>
  <c r="E82" i="20"/>
  <c r="D102" i="20"/>
  <c r="E93" i="20"/>
  <c r="D92" i="20"/>
  <c r="E83" i="20"/>
  <c r="F82" i="2"/>
  <c r="E85" i="2" s="1"/>
  <c r="F85" i="2" s="1"/>
  <c r="F86" i="2" s="1"/>
  <c r="F87" i="2" s="1"/>
  <c r="E14" i="4" s="1"/>
  <c r="E91" i="2"/>
  <c r="F65" i="5"/>
  <c r="J65" i="5" s="1"/>
  <c r="J66" i="5" s="1"/>
  <c r="J132" i="5"/>
  <c r="F132" i="5"/>
  <c r="J143" i="5"/>
  <c r="F143" i="5"/>
  <c r="F92" i="2"/>
  <c r="E101" i="2"/>
  <c r="J88" i="5"/>
  <c r="F88" i="5"/>
  <c r="H21" i="6" l="1"/>
  <c r="I21" i="6"/>
  <c r="M46" i="6"/>
  <c r="G34" i="30"/>
  <c r="E20" i="6"/>
  <c r="E20" i="30"/>
  <c r="E14" i="6"/>
  <c r="E14" i="30"/>
  <c r="E17" i="6"/>
  <c r="E17" i="30"/>
  <c r="G17" i="30"/>
  <c r="G20" i="30"/>
  <c r="G14" i="30"/>
  <c r="G50" i="30"/>
  <c r="H50" i="30" s="1"/>
  <c r="K45" i="30"/>
  <c r="F318" i="5"/>
  <c r="F364" i="5"/>
  <c r="J364" i="5" s="1"/>
  <c r="J365" i="5" s="1"/>
  <c r="F343" i="5"/>
  <c r="J343" i="5" s="1"/>
  <c r="J344" i="5" s="1"/>
  <c r="F332" i="5"/>
  <c r="J332" i="5" s="1"/>
  <c r="J333" i="5" s="1"/>
  <c r="L55" i="6"/>
  <c r="F111" i="2"/>
  <c r="E120" i="2"/>
  <c r="D101" i="20"/>
  <c r="E92" i="20"/>
  <c r="D111" i="20"/>
  <c r="E102" i="20"/>
  <c r="D100" i="20"/>
  <c r="E91" i="20"/>
  <c r="C121" i="20"/>
  <c r="D85" i="20"/>
  <c r="E85" i="20" s="1"/>
  <c r="E86" i="20" s="1"/>
  <c r="E87" i="20" s="1"/>
  <c r="E100" i="2"/>
  <c r="F91" i="2"/>
  <c r="E94" i="2" s="1"/>
  <c r="F94" i="2" s="1"/>
  <c r="F95" i="2" s="1"/>
  <c r="F96" i="2" s="1"/>
  <c r="E15" i="4" s="1"/>
  <c r="F477" i="5"/>
  <c r="J477" i="5" s="1"/>
  <c r="J478" i="5" s="1"/>
  <c r="E110" i="2"/>
  <c r="F101" i="2"/>
  <c r="J61" i="5"/>
  <c r="F61" i="5"/>
  <c r="I51" i="6" l="1"/>
  <c r="H51" i="6"/>
  <c r="K20" i="6"/>
  <c r="I20" i="6"/>
  <c r="H20" i="6"/>
  <c r="I14" i="6"/>
  <c r="H14" i="6"/>
  <c r="K17" i="6"/>
  <c r="H17" i="6"/>
  <c r="I17" i="6"/>
  <c r="H35" i="6"/>
  <c r="I35" i="6"/>
  <c r="I20" i="30"/>
  <c r="H20" i="30"/>
  <c r="E13" i="6"/>
  <c r="E13" i="30"/>
  <c r="H14" i="30"/>
  <c r="I14" i="30"/>
  <c r="H17" i="30"/>
  <c r="I17" i="30"/>
  <c r="I34" i="30"/>
  <c r="H34" i="30"/>
  <c r="G13" i="30"/>
  <c r="J322" i="5"/>
  <c r="F322" i="5"/>
  <c r="J336" i="5"/>
  <c r="F336" i="5"/>
  <c r="J355" i="5"/>
  <c r="F355" i="5"/>
  <c r="F408" i="5"/>
  <c r="J408" i="5" s="1"/>
  <c r="J409" i="5" s="1"/>
  <c r="J401" i="5" s="1"/>
  <c r="F386" i="5"/>
  <c r="J386" i="5" s="1"/>
  <c r="J387" i="5" s="1"/>
  <c r="F397" i="5"/>
  <c r="J397" i="5" s="1"/>
  <c r="J398" i="5" s="1"/>
  <c r="L66" i="6"/>
  <c r="L65" i="6"/>
  <c r="F120" i="2"/>
  <c r="E129" i="2"/>
  <c r="C130" i="20"/>
  <c r="D94" i="20"/>
  <c r="E94" i="20" s="1"/>
  <c r="E95" i="20" s="1"/>
  <c r="E96" i="20" s="1"/>
  <c r="D109" i="20"/>
  <c r="E100" i="20"/>
  <c r="D120" i="20"/>
  <c r="E111" i="20"/>
  <c r="D110" i="20"/>
  <c r="E101" i="20"/>
  <c r="E109" i="2"/>
  <c r="F100" i="2"/>
  <c r="E103" i="2" s="1"/>
  <c r="F103" i="2" s="1"/>
  <c r="F104" i="2" s="1"/>
  <c r="F105" i="2" s="1"/>
  <c r="E16" i="4" s="1"/>
  <c r="J468" i="5"/>
  <c r="F468" i="5"/>
  <c r="E119" i="2"/>
  <c r="F110" i="2"/>
  <c r="M17" i="6" l="1"/>
  <c r="M20" i="6"/>
  <c r="K13" i="6"/>
  <c r="H13" i="6"/>
  <c r="I13" i="6"/>
  <c r="K17" i="30"/>
  <c r="K34" i="30"/>
  <c r="K20" i="30"/>
  <c r="G35" i="30"/>
  <c r="E38" i="6"/>
  <c r="E37" i="30"/>
  <c r="E34" i="6"/>
  <c r="E33" i="30"/>
  <c r="M13" i="6"/>
  <c r="K14" i="30"/>
  <c r="E40" i="6"/>
  <c r="E39" i="30"/>
  <c r="E36" i="6"/>
  <c r="E35" i="30"/>
  <c r="H13" i="30"/>
  <c r="I13" i="30"/>
  <c r="G37" i="30"/>
  <c r="G33" i="30"/>
  <c r="J379" i="5"/>
  <c r="F379" i="5"/>
  <c r="F401" i="5"/>
  <c r="J390" i="5"/>
  <c r="F390" i="5"/>
  <c r="E138" i="2"/>
  <c r="F129" i="2"/>
  <c r="D103" i="20"/>
  <c r="E103" i="20" s="1"/>
  <c r="E104" i="20" s="1"/>
  <c r="E105" i="20" s="1"/>
  <c r="D119" i="20"/>
  <c r="E110" i="20"/>
  <c r="D129" i="20"/>
  <c r="E120" i="20"/>
  <c r="D118" i="20"/>
  <c r="E109" i="20"/>
  <c r="C139" i="20"/>
  <c r="E118" i="2"/>
  <c r="F109" i="2"/>
  <c r="E112" i="2" s="1"/>
  <c r="F112" i="2" s="1"/>
  <c r="F171" i="5"/>
  <c r="J171" i="5" s="1"/>
  <c r="J172" i="5" s="1"/>
  <c r="J167" i="5" s="1"/>
  <c r="F188" i="5"/>
  <c r="J188" i="5" s="1"/>
  <c r="J189" i="5" s="1"/>
  <c r="E128" i="2"/>
  <c r="F119" i="2"/>
  <c r="I36" i="6" l="1"/>
  <c r="H36" i="6"/>
  <c r="H34" i="6"/>
  <c r="I34" i="6"/>
  <c r="H38" i="6"/>
  <c r="I38" i="6"/>
  <c r="E22" i="6"/>
  <c r="E22" i="30"/>
  <c r="G39" i="30"/>
  <c r="H39" i="30" s="1"/>
  <c r="H35" i="30"/>
  <c r="I35" i="30"/>
  <c r="K13" i="30"/>
  <c r="E41" i="6"/>
  <c r="K41" i="6" s="1"/>
  <c r="E40" i="30"/>
  <c r="I40" i="30" s="1"/>
  <c r="I33" i="30"/>
  <c r="H33" i="30"/>
  <c r="G40" i="30"/>
  <c r="H40" i="30" s="1"/>
  <c r="E39" i="6"/>
  <c r="E38" i="30"/>
  <c r="G38" i="30"/>
  <c r="H38" i="30" s="1"/>
  <c r="I37" i="30"/>
  <c r="H37" i="30"/>
  <c r="F113" i="2"/>
  <c r="F114" i="2" s="1"/>
  <c r="E17" i="4" s="1"/>
  <c r="F138" i="2"/>
  <c r="E147" i="2"/>
  <c r="F147" i="2" s="1"/>
  <c r="K34" i="6"/>
  <c r="K35" i="6"/>
  <c r="K36" i="6"/>
  <c r="K38" i="6"/>
  <c r="D127" i="20"/>
  <c r="E118" i="20"/>
  <c r="D138" i="20"/>
  <c r="E129" i="20"/>
  <c r="D128" i="20"/>
  <c r="E119" i="20"/>
  <c r="C148" i="20"/>
  <c r="D112" i="20"/>
  <c r="E112" i="20" s="1"/>
  <c r="E113" i="20" s="1"/>
  <c r="E114" i="20" s="1"/>
  <c r="F167" i="5"/>
  <c r="E127" i="2"/>
  <c r="F118" i="2"/>
  <c r="E121" i="2" s="1"/>
  <c r="F121" i="2" s="1"/>
  <c r="F122" i="2" s="1"/>
  <c r="F123" i="2" s="1"/>
  <c r="E18" i="4" s="1"/>
  <c r="F178" i="5"/>
  <c r="J178" i="5"/>
  <c r="E42" i="30" s="1"/>
  <c r="F128" i="2"/>
  <c r="E137" i="2"/>
  <c r="H39" i="6" l="1"/>
  <c r="I39" i="6"/>
  <c r="M41" i="6"/>
  <c r="I41" i="6"/>
  <c r="H41" i="6"/>
  <c r="I40" i="6"/>
  <c r="H40" i="6"/>
  <c r="K40" i="30"/>
  <c r="K35" i="30"/>
  <c r="G42" i="30"/>
  <c r="G22" i="30"/>
  <c r="K37" i="30"/>
  <c r="K33" i="30"/>
  <c r="M38" i="6"/>
  <c r="M36" i="6"/>
  <c r="M35" i="6"/>
  <c r="M34" i="6"/>
  <c r="K14" i="6"/>
  <c r="D121" i="20"/>
  <c r="E121" i="20" s="1"/>
  <c r="E122" i="20" s="1"/>
  <c r="E123" i="20" s="1"/>
  <c r="D137" i="20"/>
  <c r="E128" i="20"/>
  <c r="D147" i="20"/>
  <c r="E147" i="20" s="1"/>
  <c r="E138" i="20"/>
  <c r="D136" i="20"/>
  <c r="E127" i="20"/>
  <c r="E136" i="2"/>
  <c r="F127" i="2"/>
  <c r="E43" i="6"/>
  <c r="E146" i="2"/>
  <c r="F146" i="2" s="1"/>
  <c r="F137" i="2"/>
  <c r="E130" i="2"/>
  <c r="F130" i="2" s="1"/>
  <c r="F131" i="2" s="1"/>
  <c r="F132" i="2" s="1"/>
  <c r="E19" i="4" s="1"/>
  <c r="K43" i="6" l="1"/>
  <c r="H43" i="6"/>
  <c r="I43" i="6"/>
  <c r="I22" i="6"/>
  <c r="H22" i="6"/>
  <c r="K22" i="6"/>
  <c r="M22" i="6" s="1"/>
  <c r="I42" i="30"/>
  <c r="H42" i="30"/>
  <c r="I22" i="30"/>
  <c r="H22" i="30"/>
  <c r="M14" i="6"/>
  <c r="D145" i="20"/>
  <c r="E145" i="20" s="1"/>
  <c r="E136" i="20"/>
  <c r="D146" i="20"/>
  <c r="E146" i="20" s="1"/>
  <c r="E137" i="20"/>
  <c r="D130" i="20"/>
  <c r="E130" i="20" s="1"/>
  <c r="E131" i="20" s="1"/>
  <c r="E132" i="20" s="1"/>
  <c r="F136" i="2"/>
  <c r="E139" i="2" s="1"/>
  <c r="F139" i="2" s="1"/>
  <c r="F140" i="2" s="1"/>
  <c r="F141" i="2" s="1"/>
  <c r="E20" i="4" s="1"/>
  <c r="F424" i="5" s="1"/>
  <c r="J424" i="5" s="1"/>
  <c r="J425" i="5" s="1"/>
  <c r="E145" i="2"/>
  <c r="F145" i="2" s="1"/>
  <c r="E148" i="2" s="1"/>
  <c r="F148" i="2" s="1"/>
  <c r="F149" i="2" s="1"/>
  <c r="F150" i="2" s="1"/>
  <c r="E21" i="4" s="1"/>
  <c r="M43" i="6" l="1"/>
  <c r="K42" i="30"/>
  <c r="K22" i="30"/>
  <c r="D148" i="20"/>
  <c r="E148" i="20" s="1"/>
  <c r="E149" i="20" s="1"/>
  <c r="E150" i="20" s="1"/>
  <c r="D139" i="20"/>
  <c r="E139" i="20" s="1"/>
  <c r="E140" i="20" s="1"/>
  <c r="E141" i="20" s="1"/>
  <c r="J415" i="5"/>
  <c r="E44" i="30" s="1"/>
  <c r="F415" i="5"/>
  <c r="G44" i="30" l="1"/>
  <c r="E45" i="6"/>
  <c r="K45" i="6" l="1"/>
  <c r="I45" i="6"/>
  <c r="H45" i="6"/>
  <c r="I44" i="30"/>
  <c r="I53" i="30" s="1"/>
  <c r="K53" i="30" s="1"/>
  <c r="H44" i="30"/>
  <c r="L70" i="6"/>
  <c r="M45" i="6" l="1"/>
  <c r="K44" i="30"/>
  <c r="H53" i="30"/>
  <c r="H54" i="30" s="1"/>
  <c r="J55" i="6"/>
  <c r="G55" i="6" s="1"/>
  <c r="K6" i="6"/>
  <c r="K54" i="6" s="1"/>
  <c r="D20" i="26"/>
  <c r="H57" i="30" l="1"/>
  <c r="H58" i="30"/>
  <c r="H59" i="30" s="1"/>
  <c r="J65" i="6"/>
  <c r="J66" i="6"/>
  <c r="G59" i="6" s="1"/>
  <c r="M6" i="6"/>
  <c r="M54" i="6"/>
  <c r="J67" i="6" l="1"/>
  <c r="O67" i="6" s="1"/>
  <c r="J64" i="6" s="1"/>
  <c r="K55" i="6"/>
  <c r="G9" i="7" l="1"/>
  <c r="G9" i="26"/>
  <c r="K66" i="6"/>
  <c r="K65" i="6"/>
  <c r="G11" i="7" l="1"/>
  <c r="G12" i="7" s="1"/>
  <c r="G11" i="26"/>
  <c r="G12" i="26" s="1"/>
  <c r="E31" i="7" l="1"/>
  <c r="G31" i="7" s="1"/>
  <c r="E32" i="7"/>
  <c r="G32" i="7" s="1"/>
  <c r="E30" i="7"/>
  <c r="G30" i="7" s="1"/>
  <c r="E27" i="7"/>
  <c r="G27" i="7" s="1"/>
  <c r="E29" i="7"/>
  <c r="G29" i="7" s="1"/>
  <c r="E26" i="7"/>
  <c r="G26" i="7" s="1"/>
  <c r="E24" i="7"/>
  <c r="G24" i="7" s="1"/>
  <c r="E28" i="7"/>
  <c r="G28" i="7" s="1"/>
  <c r="E25" i="7"/>
  <c r="G25" i="7" s="1"/>
  <c r="E29" i="26"/>
  <c r="G29" i="26" s="1"/>
  <c r="E38" i="26"/>
  <c r="G38" i="26" s="1"/>
  <c r="E35" i="26"/>
  <c r="G35" i="26" s="1"/>
  <c r="E37" i="26"/>
  <c r="G37" i="26" s="1"/>
  <c r="E30" i="26"/>
  <c r="G30" i="26" s="1"/>
  <c r="E32" i="26"/>
  <c r="G32" i="26" s="1"/>
  <c r="E36" i="26"/>
  <c r="G36" i="26" s="1"/>
  <c r="E31" i="26"/>
  <c r="G31" i="26" s="1"/>
  <c r="E34" i="26"/>
  <c r="G34" i="26" s="1"/>
  <c r="E33" i="26"/>
  <c r="G33" i="26" s="1"/>
  <c r="E39" i="26"/>
  <c r="G39" i="26" s="1"/>
  <c r="E28" i="26"/>
  <c r="G28" i="26" s="1"/>
  <c r="G46" i="7" l="1"/>
  <c r="G50" i="26"/>
  <c r="G52" i="26" s="1"/>
  <c r="G56" i="26" s="1"/>
  <c r="Q43" i="26" s="1"/>
  <c r="G48" i="7" l="1"/>
  <c r="C56" i="30" l="1"/>
  <c r="G52" i="7"/>
  <c r="Q34" i="7" s="1"/>
  <c r="J68" i="6" l="1"/>
  <c r="O68" i="6" s="1"/>
  <c r="O71" i="6" s="1"/>
  <c r="G57" i="6"/>
  <c r="G61" i="6" s="1"/>
  <c r="J56" i="30"/>
  <c r="I56" i="30"/>
  <c r="H56" i="30"/>
  <c r="H60" i="30" s="1"/>
  <c r="L64" i="6"/>
  <c r="L71" i="6" s="1"/>
  <c r="K74" i="6" s="1"/>
  <c r="K64" i="6"/>
  <c r="K71" i="6" s="1"/>
  <c r="J71" i="6" l="1"/>
  <c r="T68" i="6"/>
  <c r="V66" i="6"/>
  <c r="T71" i="6"/>
  <c r="K75" i="6"/>
  <c r="M71" i="6"/>
  <c r="H63" i="30"/>
  <c r="H67" i="30" s="1"/>
  <c r="O55" i="30"/>
  <c r="O58" i="30" s="1"/>
  <c r="S55" i="30"/>
  <c r="S58" i="30" s="1"/>
  <c r="W55" i="30"/>
  <c r="W58" i="30" s="1"/>
  <c r="AA55" i="30"/>
  <c r="AA58" i="30" s="1"/>
  <c r="N55" i="30"/>
  <c r="N58" i="30" s="1"/>
  <c r="R55" i="30"/>
  <c r="R58" i="30" s="1"/>
  <c r="V55" i="30"/>
  <c r="V58" i="30" s="1"/>
  <c r="Z55" i="30"/>
  <c r="Z58" i="30" s="1"/>
  <c r="Q55" i="30"/>
  <c r="Q58" i="30" s="1"/>
  <c r="U55" i="30"/>
  <c r="U58" i="30" s="1"/>
  <c r="Y55" i="30"/>
  <c r="Y58" i="30" s="1"/>
  <c r="M55" i="30"/>
  <c r="P55" i="30"/>
  <c r="P58" i="30" s="1"/>
  <c r="T55" i="30"/>
  <c r="T58" i="30" s="1"/>
  <c r="X55" i="30"/>
  <c r="X58" i="30" s="1"/>
  <c r="AB55" i="30"/>
  <c r="AB58" i="30" s="1"/>
  <c r="R68" i="6" l="1"/>
  <c r="U68" i="6" s="1"/>
  <c r="R70" i="6"/>
  <c r="U70" i="6" s="1"/>
  <c r="R69" i="6"/>
  <c r="U69" i="6" s="1"/>
  <c r="M58" i="30"/>
  <c r="AC55" i="30"/>
  <c r="V68" i="6" l="1"/>
  <c r="R71" i="6"/>
  <c r="V69" i="6"/>
  <c r="W69" i="6" s="1"/>
  <c r="V70" i="6"/>
  <c r="W68" i="6"/>
  <c r="U71" i="6"/>
  <c r="V71" i="6" l="1"/>
</calcChain>
</file>

<file path=xl/comments1.xml><?xml version="1.0" encoding="utf-8"?>
<comments xmlns="http://schemas.openxmlformats.org/spreadsheetml/2006/main">
  <authors>
    <author>Carolina Osorio Tobon</author>
  </authors>
  <commentList>
    <comment ref="E23" authorId="0" shapeId="0">
      <text>
        <r>
          <rPr>
            <b/>
            <sz val="8"/>
            <color indexed="81"/>
            <rFont val="Tahoma"/>
            <family val="2"/>
          </rPr>
          <t>Carolina Osorio Tobon:</t>
        </r>
        <r>
          <rPr>
            <sz val="8"/>
            <color indexed="81"/>
            <rFont val="Tahoma"/>
            <family val="2"/>
          </rPr>
          <t xml:space="preserve">
ACTUALICE LOS PRECIOS EN ENERO Y JUNIO DE CADA AÑO SEGÚN COMO SE REQUIERA</t>
        </r>
      </text>
    </comment>
  </commentList>
</comments>
</file>

<file path=xl/sharedStrings.xml><?xml version="1.0" encoding="utf-8"?>
<sst xmlns="http://schemas.openxmlformats.org/spreadsheetml/2006/main" count="6521" uniqueCount="2965">
  <si>
    <t>14.3</t>
  </si>
  <si>
    <t>14.4</t>
  </si>
  <si>
    <t>14.5</t>
  </si>
  <si>
    <t>14.6</t>
  </si>
  <si>
    <t>14.7</t>
  </si>
  <si>
    <t>14.8</t>
  </si>
  <si>
    <t>15.1</t>
  </si>
  <si>
    <t>15.2</t>
  </si>
  <si>
    <t>16.1</t>
  </si>
  <si>
    <t>16.2</t>
  </si>
  <si>
    <t>16.3</t>
  </si>
  <si>
    <t>16.4</t>
  </si>
  <si>
    <t>16.5</t>
  </si>
  <si>
    <t>17.1</t>
  </si>
  <si>
    <t>17.2</t>
  </si>
  <si>
    <t>17.3</t>
  </si>
  <si>
    <t>17.4</t>
  </si>
  <si>
    <t>17.5</t>
  </si>
  <si>
    <t>18.1</t>
  </si>
  <si>
    <t>18.2</t>
  </si>
  <si>
    <t>18.3</t>
  </si>
  <si>
    <t>18.4</t>
  </si>
  <si>
    <t>18.5</t>
  </si>
  <si>
    <t>18.6</t>
  </si>
  <si>
    <t>18.7</t>
  </si>
  <si>
    <t>18.8</t>
  </si>
  <si>
    <t>18.9</t>
  </si>
  <si>
    <t>TUBERIA SANITARIA/VENTILACIÓN</t>
  </si>
  <si>
    <t>Tubería PVC Sanitaria 1"</t>
  </si>
  <si>
    <t>Tubería PVC Sanitaria 1 1/2"</t>
  </si>
  <si>
    <t>Tubería PVC Sanitaria 2"</t>
  </si>
  <si>
    <t>Tubería PVC Sanitaría 3"</t>
  </si>
  <si>
    <t>Tubería PVC Sanitaría 4"</t>
  </si>
  <si>
    <t>Tubería PVC Sanitaría 6"</t>
  </si>
  <si>
    <t>Tubería PVC Ventilación 1 1/2"</t>
  </si>
  <si>
    <t>Tubería PVC Ventilación 2"</t>
  </si>
  <si>
    <t>Tubería PVC Ventilación 3"</t>
  </si>
  <si>
    <t>Tubería PVC Ventilación 4"</t>
  </si>
  <si>
    <t>Tee Sanitaria 1 1/2"</t>
  </si>
  <si>
    <t>Tee Sanitaria 2"</t>
  </si>
  <si>
    <t>Tee Sanitaria 3"</t>
  </si>
  <si>
    <t>Tee Sanitaria 4"</t>
  </si>
  <si>
    <t>Tee Sanitaria 6"</t>
  </si>
  <si>
    <t>Tee Sanitaria Reducida 3" x 2"</t>
  </si>
  <si>
    <t>Tee Sanitaria Reducida 2" x 1 1/2"</t>
  </si>
  <si>
    <t>Tee Sanitaria Reducida 4" x 2"</t>
  </si>
  <si>
    <t>Tee Sanitaria Reducida 4" x 3"</t>
  </si>
  <si>
    <t>Tee Sanitaria Reducida 6" x 4"</t>
  </si>
  <si>
    <t>Yee Sanitaria 2"</t>
  </si>
  <si>
    <t>Yee Sanitaria 3"</t>
  </si>
  <si>
    <t>Yee Sanitaria 4"</t>
  </si>
  <si>
    <t>Yee Sanitaria 6"</t>
  </si>
  <si>
    <t>Yee Sanitaria Reducida 3" x 2"</t>
  </si>
  <si>
    <t>Yee Sanitaria Reducida 4" x 2"</t>
  </si>
  <si>
    <t>Yee Sanitaria Reducida 4" x 3"</t>
  </si>
  <si>
    <t>Yee Sanitaria Reducida 6" x 4"</t>
  </si>
  <si>
    <t>Unión Sanitaria 1 1/2"</t>
  </si>
  <si>
    <t>Unión Sanitaria 2"</t>
  </si>
  <si>
    <t>Unión Sanitaria 3"</t>
  </si>
  <si>
    <t>Unión Sanitaria 4"</t>
  </si>
  <si>
    <t>Unión Sanitaria 6"</t>
  </si>
  <si>
    <t>Codo 90° Sanitario C x C 1"</t>
  </si>
  <si>
    <t>Codo 90° Sanitario C x C 1 1/2"</t>
  </si>
  <si>
    <t>Codo 90° Sanitario C x C 2"</t>
  </si>
  <si>
    <t>Codo 90° Sanitario C x C 3"</t>
  </si>
  <si>
    <t>Codo 90° Sanitario C x C 4"</t>
  </si>
  <si>
    <t>Codo 90° Sanitario C x C 6"</t>
  </si>
  <si>
    <t>Codo 45° Sanitario C x C 1"</t>
  </si>
  <si>
    <t>Codo 45° Sanitario C x C 1 1/2"</t>
  </si>
  <si>
    <t>Codo 45° Sanitario C x C 2"</t>
  </si>
  <si>
    <t>Codo 45° Sanitario C x C 3"</t>
  </si>
  <si>
    <t>Codo 45° Sanitario C x C 4"</t>
  </si>
  <si>
    <t>Codo 45° Sanitario C x C 6"</t>
  </si>
  <si>
    <t>Buje Soldado Sanitario 2" x 1 1/2"</t>
  </si>
  <si>
    <t>Buje Soldado Sanitario 3" x 1 1/2"</t>
  </si>
  <si>
    <t>Buje Roscado Presión 1 1/2" x 1/2"</t>
  </si>
  <si>
    <t>Buje Roscado Presión 1 1/2" x 3/4"</t>
  </si>
  <si>
    <t>Buje Roscado Presión 1 1/2" x 1"</t>
  </si>
  <si>
    <t>Buje Roscado Presión 1 1/2" x 1 1/4"</t>
  </si>
  <si>
    <t>Buje Roscado Presión 2" x 1/2"</t>
  </si>
  <si>
    <t>Buje Roscado Presión 2" x 3/4"</t>
  </si>
  <si>
    <t>Buje Roscado Presión 2" x 1"</t>
  </si>
  <si>
    <t>Buje Roscado Presión 2" x 1 1/4"</t>
  </si>
  <si>
    <t>Buje Roscado Presión 2" x 1 1/2"</t>
  </si>
  <si>
    <t>Buje Roscado Presión 3" x 2"</t>
  </si>
  <si>
    <t>22.113</t>
  </si>
  <si>
    <t>22.114</t>
  </si>
  <si>
    <t>22.115</t>
  </si>
  <si>
    <t>22.116</t>
  </si>
  <si>
    <t>22.117</t>
  </si>
  <si>
    <t>22.118</t>
  </si>
  <si>
    <t>22.119</t>
  </si>
  <si>
    <t>22.120</t>
  </si>
  <si>
    <t>22.121</t>
  </si>
  <si>
    <t>22.122</t>
  </si>
  <si>
    <t>22.123</t>
  </si>
  <si>
    <t>22.124</t>
  </si>
  <si>
    <t>22.125</t>
  </si>
  <si>
    <t>22.126</t>
  </si>
  <si>
    <t>22.127</t>
  </si>
  <si>
    <t>22.128</t>
  </si>
  <si>
    <t>22.129</t>
  </si>
  <si>
    <t>TUBERIA Y ACCESORIOS UNION PLATINO</t>
  </si>
  <si>
    <t>23.6</t>
  </si>
  <si>
    <t>23.7</t>
  </si>
  <si>
    <t>23.9</t>
  </si>
  <si>
    <t>23.10</t>
  </si>
  <si>
    <t>23.11</t>
  </si>
  <si>
    <t>23.12</t>
  </si>
  <si>
    <t>Codo Gran Radio Unión Platino 90° 2"</t>
  </si>
  <si>
    <t>Codo Gran Radio Unión Platino 90° 2 1/2"</t>
  </si>
  <si>
    <t>Codo Gran Radio Unión Platino 90° 3"</t>
  </si>
  <si>
    <t>Codo Gran Radio Unión Platino 90° 4"</t>
  </si>
  <si>
    <t>Codo Gran Radio Unión Platino 90° 6"</t>
  </si>
  <si>
    <t>Codo Gran Radio Unión Platino 90° 8"</t>
  </si>
  <si>
    <t>Codo Gran Radio Unión Platino 90° 10"</t>
  </si>
  <si>
    <t>Codo Gran Radio Unión Platino 90° 12"</t>
  </si>
  <si>
    <t>23.13</t>
  </si>
  <si>
    <t>23.14</t>
  </si>
  <si>
    <t>23.15</t>
  </si>
  <si>
    <t>23.16</t>
  </si>
  <si>
    <t>23.17</t>
  </si>
  <si>
    <t>23.18</t>
  </si>
  <si>
    <t>23.19</t>
  </si>
  <si>
    <t>23.20</t>
  </si>
  <si>
    <t>Codo Gran Radio Unión Platino 45° 2"</t>
  </si>
  <si>
    <t>Codo Gran Radio Unión Platino 45° 2 1/2"</t>
  </si>
  <si>
    <t>Codo Gran Radio Unión Platino 45° 3"</t>
  </si>
  <si>
    <t>Codo Gran Radio Unión Platino 45° 4"</t>
  </si>
  <si>
    <t>Codo Gran Radio Unión Platino 45° 6"</t>
  </si>
  <si>
    <t>Codo Gran Radio Unión Platino 45° 8"</t>
  </si>
  <si>
    <t>Codo Gran Radio Unión Platino 45° 10"</t>
  </si>
  <si>
    <t>Codo Gran Radio Unión Platino 45° 12"</t>
  </si>
  <si>
    <t>23.21</t>
  </si>
  <si>
    <t>23.22</t>
  </si>
  <si>
    <t>23.23</t>
  </si>
  <si>
    <t>23.24</t>
  </si>
  <si>
    <t>23.25</t>
  </si>
  <si>
    <t>23.26</t>
  </si>
  <si>
    <t>23.27</t>
  </si>
  <si>
    <t>23.28</t>
  </si>
  <si>
    <t>Tubería PVC Biaxial PR 200 4"</t>
  </si>
  <si>
    <t>Tubería PVC Biaxial PR 200 6"</t>
  </si>
  <si>
    <t>Tubería PVC Biaxial PR 200 8"</t>
  </si>
  <si>
    <t>Tubería PVC Biaxial PR 200 10"</t>
  </si>
  <si>
    <t>Tubería PVC Biaxial PR 200 12"</t>
  </si>
  <si>
    <t>Hidrosello Biaxial 4"</t>
  </si>
  <si>
    <t>Hidrosello Biaxial 6"</t>
  </si>
  <si>
    <t>Hidrosello Biaxial 8"</t>
  </si>
  <si>
    <t>Hidrosello Biaxial 10"</t>
  </si>
  <si>
    <t>Hidrosello Biaxial 12"</t>
  </si>
  <si>
    <t>Anillo Biaxial 4"</t>
  </si>
  <si>
    <t>Anillo Biaxial 6"</t>
  </si>
  <si>
    <t>Anillo Biaxial 8"</t>
  </si>
  <si>
    <t>Anillo Biaxial 10"</t>
  </si>
  <si>
    <t>Anillo Biaxial 12"</t>
  </si>
  <si>
    <t>24.1</t>
  </si>
  <si>
    <t>24.2</t>
  </si>
  <si>
    <t>24.3</t>
  </si>
  <si>
    <t>24.4</t>
  </si>
  <si>
    <t>24.5</t>
  </si>
  <si>
    <t>30.1</t>
  </si>
  <si>
    <t xml:space="preserve">Impermeabilizante para concretos </t>
  </si>
  <si>
    <t xml:space="preserve">Un </t>
  </si>
  <si>
    <t>30.2</t>
  </si>
  <si>
    <t>Anclajes para escaleras</t>
  </si>
  <si>
    <t>30.3</t>
  </si>
  <si>
    <t>Tapa Hierro Fundido D=0,60 m</t>
  </si>
  <si>
    <t>ACCESORIOS Y OTROS</t>
  </si>
  <si>
    <t>Codo HG de 90° 4"</t>
  </si>
  <si>
    <t xml:space="preserve">Tee HG 4"X 4" </t>
  </si>
  <si>
    <t>Niple Roscado H.G 4"  L= 0,60 mts</t>
  </si>
  <si>
    <t>30.4</t>
  </si>
  <si>
    <t>30.5</t>
  </si>
  <si>
    <t>30.6</t>
  </si>
  <si>
    <t>Niple Roscado H.G 4"  L= 0,20 mts</t>
  </si>
  <si>
    <t xml:space="preserve">Malla 5 mm </t>
  </si>
  <si>
    <t>30.7</t>
  </si>
  <si>
    <t>30.8</t>
  </si>
  <si>
    <t>Pasamuro B.B de D= 3" L= 0,50</t>
  </si>
  <si>
    <t>Pasamuro B.B de D= 3" L= 0,90</t>
  </si>
  <si>
    <t>Pasamuro B.B de D= 4" L= 0,30</t>
  </si>
  <si>
    <t>Pasamuro B.B de D= 4" L= 0,40</t>
  </si>
  <si>
    <t>Pasamuro B.B de D= 4" L= 0,50</t>
  </si>
  <si>
    <t>Pasamuro B.B de D= 4" L= 0,90</t>
  </si>
  <si>
    <t>Pasamuro B.B de D= 6" L= 0,20</t>
  </si>
  <si>
    <t>Pasamuro B.B de D= 6" L= 0,30</t>
  </si>
  <si>
    <t>Pasamuro B.B de D= 6" L= 0,40</t>
  </si>
  <si>
    <t>Pasamuro B.B de D= 6" L= 0,50</t>
  </si>
  <si>
    <t>Pasamuro B.B de D= 8" L= 0,50</t>
  </si>
  <si>
    <t>Pasamuro B.B de D= 10" L= 0,90</t>
  </si>
  <si>
    <t>Pasamuro B.B de D= 12" L= 0,30</t>
  </si>
  <si>
    <t>Pasamuro B.B. 4"x2"  L=0,90 m</t>
  </si>
  <si>
    <t>Pasamuro B.B. 6"x3"  L=0,90 m</t>
  </si>
  <si>
    <t>Pasamuro en HD de  Ø 6" de L = 0.60 m, Z = 0.30 m, de Brida</t>
  </si>
  <si>
    <t>Pasamuro en HD de  Ø 8" de L = 0.50 m, Z = 0.30 m, de Brida</t>
  </si>
  <si>
    <t>Pasamuro en HD de  Ø 8" de L = 0.70 m, Z = 0.30 m, de Brida</t>
  </si>
  <si>
    <t>Pasamuro en HD de  Ø 10" de L = 0.40 m, Brida</t>
  </si>
  <si>
    <t>Pasamuro en HD de  Ø 10" de L = 0.80 m, Brida</t>
  </si>
  <si>
    <t>Pasamuro en HD de  Ø 14" de L = 0.70 m, Z = 0.30 m, de E.L. para PVC.</t>
  </si>
  <si>
    <t>Pasamuro en HD de  Ø 10" de L = 0.70 m, Z = 0.30 m, de E.L. para PVC.</t>
  </si>
  <si>
    <t>Pasamuro de 10". B X B. L = 0,9 m</t>
  </si>
  <si>
    <t>Pasamuro en HD de  Ø 12" de L = 0.7O m, Z = 0.30 m, de E.L. para PVC.</t>
  </si>
  <si>
    <t>Pasamuro en HD de  Ø 16" de L = 0.80 m, Z = 0.30 m, de B.B. para PVC.</t>
  </si>
  <si>
    <t>Pasamuro en HD de  Ø 10" de L = 0.80 m, Z = 0.40 m, de E.L. para PVC.</t>
  </si>
  <si>
    <t>Pasamuro en HD de  Ø 10" de L = 0.60 m, Z = 0.30 m, de E.L. para PVC.</t>
  </si>
  <si>
    <t>Pasamuro en HD de  Ø 12" de L = 0.60 m, Z = 0.30 m, de E.L. para PVC.</t>
  </si>
  <si>
    <t>Pasamuro de 4". L X B. L=0,9 m.  salida de 2" para ventosa y 1/4" para manómetro.</t>
  </si>
  <si>
    <t>Pasamuro de 4". B X B. L = 0,9 m</t>
  </si>
  <si>
    <t>Pasamuro de 6". L X B. L=0,9 m.  salida de 2" para ventosa y 1/4" para manómetro.</t>
  </si>
  <si>
    <t>Pasamuro de 6". B X B. L = 0,9 m</t>
  </si>
  <si>
    <t>Pasamuro de 10". L X B. L=0,9 m.  salida de 3" para ventosa y 1/4" para manómetro.</t>
  </si>
  <si>
    <t>Pasamuro de 12". L X B. L=0,9 m.  salida de 3" para ventosa y 1/4" para manómetro.</t>
  </si>
  <si>
    <t>Pasamuro de 12". B X B. L = 0,9 m</t>
  </si>
  <si>
    <t>PASAMUROS</t>
  </si>
  <si>
    <t>30.9</t>
  </si>
  <si>
    <t>30.10</t>
  </si>
  <si>
    <t>30.11</t>
  </si>
  <si>
    <t>30.12</t>
  </si>
  <si>
    <t>30.13</t>
  </si>
  <si>
    <t>30.14</t>
  </si>
  <si>
    <t>30.15</t>
  </si>
  <si>
    <t>40.1</t>
  </si>
  <si>
    <t>40.2</t>
  </si>
  <si>
    <t>40.3</t>
  </si>
  <si>
    <t>40.4</t>
  </si>
  <si>
    <t>40.5</t>
  </si>
  <si>
    <t>40.6</t>
  </si>
  <si>
    <t>40.7</t>
  </si>
  <si>
    <t>40.8</t>
  </si>
  <si>
    <t>40.9</t>
  </si>
  <si>
    <t>40.10</t>
  </si>
  <si>
    <t>40.11</t>
  </si>
  <si>
    <t>40.12</t>
  </si>
  <si>
    <t>40.13</t>
  </si>
  <si>
    <t>40.14</t>
  </si>
  <si>
    <t>40.15</t>
  </si>
  <si>
    <t>40.16</t>
  </si>
  <si>
    <t>40.17</t>
  </si>
  <si>
    <t>40.18</t>
  </si>
  <si>
    <t>40.19</t>
  </si>
  <si>
    <t>40.20</t>
  </si>
  <si>
    <t>40.21</t>
  </si>
  <si>
    <t>40.22</t>
  </si>
  <si>
    <t>40.23</t>
  </si>
  <si>
    <t>40.24</t>
  </si>
  <si>
    <t>40.25</t>
  </si>
  <si>
    <t>40.26</t>
  </si>
  <si>
    <t>40.27</t>
  </si>
  <si>
    <t>40.28</t>
  </si>
  <si>
    <t>40.29</t>
  </si>
  <si>
    <t>40.30</t>
  </si>
  <si>
    <t>40.31</t>
  </si>
  <si>
    <t>40.32</t>
  </si>
  <si>
    <t>40.33</t>
  </si>
  <si>
    <t>40.34</t>
  </si>
  <si>
    <t>40.35</t>
  </si>
  <si>
    <t>40.36</t>
  </si>
  <si>
    <t>40.37</t>
  </si>
  <si>
    <t>Niple Bridado L= 0,25 m  50 mm ( 2")</t>
  </si>
  <si>
    <t>Niple Bridado L=0,40 m 50 mm (2")</t>
  </si>
  <si>
    <t>Niple Bridado L=0,94 m 50 mm (2")</t>
  </si>
  <si>
    <t>Niple Bridado L= 2,50 m  50 mm ( 2")</t>
  </si>
  <si>
    <t>Niple Bridado L= 0,25 m  75 mm( 3")</t>
  </si>
  <si>
    <t>Niple Bridado L=0,39 m 75 mm (3")</t>
  </si>
  <si>
    <t>Niple Bridado L=0,40 m 75 mm (3")</t>
  </si>
  <si>
    <t>Niple Bridado L=0,50 m 75 mm (3")</t>
  </si>
  <si>
    <t>Niple Bridado L=0,75 m 75 mm (3")</t>
  </si>
  <si>
    <t>Niple Bridado L=0,77 m 75 mm (3")</t>
  </si>
  <si>
    <t>Niple Bridado L=1,00 m 75 mm (3")</t>
  </si>
  <si>
    <t>Niple Bridado L=1,50 m 75 mm (3")</t>
  </si>
  <si>
    <t>Niple Bridado L=1,73 m 75 mm (3")</t>
  </si>
  <si>
    <t>Niple Bridado L=2,50 m 75 mm (3")</t>
  </si>
  <si>
    <t>Niple Bridado L=0,40 m 110 mm (4")</t>
  </si>
  <si>
    <t>Niple Bridado L=0,51 m 100 mm (4")</t>
  </si>
  <si>
    <t>Niple Bridado L=0,55 m 100 mm (4")</t>
  </si>
  <si>
    <t>Niple Bridado L=0,63 m 100 mm (4")</t>
  </si>
  <si>
    <t>Niple Bridado L=0,75 m 100 mm (4")</t>
  </si>
  <si>
    <t>Niple Bridado L=0,65 m 100 mm (4")</t>
  </si>
  <si>
    <t>Niple Bridado L=1,00 m 100 mm (4")</t>
  </si>
  <si>
    <t>Niple Bridado L=1,15 m 100 mm (4")</t>
  </si>
  <si>
    <t>Niple Bridado L=1,50 m 100 mm (4")</t>
  </si>
  <si>
    <t>Niple Bridado L=2,00m 100 mm (4")</t>
  </si>
  <si>
    <t>Niple Bridado L=2,50m 100 mm (4")</t>
  </si>
  <si>
    <t>Niple Bridado L=2,77 m 110 mm (4")</t>
  </si>
  <si>
    <t>Niple Bridado L=4,20 m 100 mm (4")</t>
  </si>
  <si>
    <t>Niple Bridado L=0,51 m 150 mm (6")</t>
  </si>
  <si>
    <t>Niple Bridado L=0,63 m 150 mm (6")</t>
  </si>
  <si>
    <t>Niple Bridado L=0,77 m 150 mm (6")</t>
  </si>
  <si>
    <t>Niple Bridado L=1,00 m 150 mm (6")</t>
  </si>
  <si>
    <t>Niple Bridado L=1,50 m 150 mm (6")</t>
  </si>
  <si>
    <t>Niple Bridado L=1,53 m 150 mm (6")</t>
  </si>
  <si>
    <t>Niple Bridado L=0,65 m 150 mm (6")</t>
  </si>
  <si>
    <t>Niple Bridado L=0,75 m 150 mm (6")</t>
  </si>
  <si>
    <t>Niple Bridado L=0,50 m 150 mm (6")</t>
  </si>
  <si>
    <t>Niple Bridado L=0,45 m 150 mm (6")</t>
  </si>
  <si>
    <t>Niple Bridado L=2,26 m 150 mm (6")</t>
  </si>
  <si>
    <t>Niple Bridado L=3,60 m 150 mm (6")</t>
  </si>
  <si>
    <t>Niple Bridado L=0,60 m 200 mm (8")</t>
  </si>
  <si>
    <t>Niple Bridado L=1,00 m 200 mm (8")</t>
  </si>
  <si>
    <t>Niple Bridado L=1,50 m 200 mm (8")</t>
  </si>
  <si>
    <t>Niple Bridado L=0,40 m 200 mm (8")</t>
  </si>
  <si>
    <t>Niple Bridado L=0,75 m 200 mm (8")</t>
  </si>
  <si>
    <t>Niple Bridado L=3,00 m 200 mm (8")</t>
  </si>
  <si>
    <t>Niple Bridado L=0,75 m 250 mm (10")</t>
  </si>
  <si>
    <t>Niple Bridado L=1,27 m 250 mm (10")</t>
  </si>
  <si>
    <t>Niple Bridado L=2,54 m 250 mm (10")</t>
  </si>
  <si>
    <t>Niple Bridado L=3,00 m 250 mm (10")</t>
  </si>
  <si>
    <t>Niple Bridado L=0,50 m 250 mm (10")</t>
  </si>
  <si>
    <t>Niple Bridado L=0,63 m 250 mm (10")</t>
  </si>
  <si>
    <t>Niple Bridado L=1,50 m 250 mm (10")</t>
  </si>
  <si>
    <t>Niple Bridado L=0,75 m 300 mm (12")</t>
  </si>
  <si>
    <t>Niple Bridado L=1,5 m 300 mm (12")</t>
  </si>
  <si>
    <t>Niple Bridado L=0.50 m 400 mm (16")</t>
  </si>
  <si>
    <t>Niple Bridado L=2,60 m 400 mm (16")</t>
  </si>
  <si>
    <t>Niple Bridado L=0.40 m 450 mm (18")</t>
  </si>
  <si>
    <t>Niple Brida-Extremo liso L= 0,67 50 mm (2")</t>
  </si>
  <si>
    <t>Niple Brida-Extremo liso L=0,94 m 50 mm (2")</t>
  </si>
  <si>
    <t>Niple Brida-Extremo liso L= 0,67 75 mm (3")</t>
  </si>
  <si>
    <t>Niple Brida-Extremo liso L= 1,73 75 mm (3")</t>
  </si>
  <si>
    <t>Niple Brida-Extremo liso L= 0,25 100 mm (4")</t>
  </si>
  <si>
    <t>Niple Brida-Extremo liso L= 0,30 100 mm (4")</t>
  </si>
  <si>
    <t>Niple Brida-Extremo liso L=2,77 m 110 mm (4")</t>
  </si>
  <si>
    <t>Niple Brida-Extremo liso L= 0,25 150 mm (6")</t>
  </si>
  <si>
    <t>Niple Brida-Extremo liso L= 0,30 150 mm (6")</t>
  </si>
  <si>
    <t>Niple Brida-Extremo liso L= 0,40 250 mm (10")</t>
  </si>
  <si>
    <t>Niple Brida-Extremo liso L= 0,30 250 mm (10")</t>
  </si>
  <si>
    <t>Niple Brida-Extremo liso L= 0,30 350 mm (12")</t>
  </si>
  <si>
    <t>Niple Brida-Extremo liso L= 0,40 400 mm (16")</t>
  </si>
  <si>
    <t xml:space="preserve">Niple doble rosca HG d= 2 1/2" L= 0,20 m </t>
  </si>
  <si>
    <t>Niple Roscado HG d=4" L=0.20 m</t>
  </si>
  <si>
    <t>Niple Roscado HG d=4" L=0.50 m</t>
  </si>
  <si>
    <t>Niple Roscado HG d=4" L=0.60 m</t>
  </si>
  <si>
    <t>NIPLES</t>
  </si>
  <si>
    <t>50.1</t>
  </si>
  <si>
    <t>50.2</t>
  </si>
  <si>
    <t>50.3</t>
  </si>
  <si>
    <t>50.4</t>
  </si>
  <si>
    <t>50.5</t>
  </si>
  <si>
    <t>50.6</t>
  </si>
  <si>
    <t>50.7</t>
  </si>
  <si>
    <t>50.8</t>
  </si>
  <si>
    <t>50.9</t>
  </si>
  <si>
    <t>50.10</t>
  </si>
  <si>
    <t>50.11</t>
  </si>
  <si>
    <t>50.12</t>
  </si>
  <si>
    <t>50.13</t>
  </si>
  <si>
    <t>50.14</t>
  </si>
  <si>
    <t>50.15</t>
  </si>
  <si>
    <t>50.16</t>
  </si>
  <si>
    <t>50.17</t>
  </si>
  <si>
    <t>50.18</t>
  </si>
  <si>
    <t>50.19</t>
  </si>
  <si>
    <t>50.20</t>
  </si>
  <si>
    <t>50.21</t>
  </si>
  <si>
    <t>50.22</t>
  </si>
  <si>
    <t>50.23</t>
  </si>
  <si>
    <t>50.24</t>
  </si>
  <si>
    <t>50.25</t>
  </si>
  <si>
    <t>50.26</t>
  </si>
  <si>
    <t>50.27</t>
  </si>
  <si>
    <t>50.28</t>
  </si>
  <si>
    <t>50.29</t>
  </si>
  <si>
    <t>50.30</t>
  </si>
  <si>
    <t>50.31</t>
  </si>
  <si>
    <t>50.32</t>
  </si>
  <si>
    <t>50.33</t>
  </si>
  <si>
    <t>50.34</t>
  </si>
  <si>
    <t>50.35</t>
  </si>
  <si>
    <t>50.36</t>
  </si>
  <si>
    <t>50.37</t>
  </si>
  <si>
    <t>50.38</t>
  </si>
  <si>
    <t>50.39</t>
  </si>
  <si>
    <t>50.40</t>
  </si>
  <si>
    <t>50.41</t>
  </si>
  <si>
    <t>50.42</t>
  </si>
  <si>
    <t>50.43</t>
  </si>
  <si>
    <t>50.44</t>
  </si>
  <si>
    <t>50.45</t>
  </si>
  <si>
    <t>50.46</t>
  </si>
  <si>
    <t>50.47</t>
  </si>
  <si>
    <t>50.48</t>
  </si>
  <si>
    <t>50.49</t>
  </si>
  <si>
    <t>50.50</t>
  </si>
  <si>
    <t>50.51</t>
  </si>
  <si>
    <t>50.52</t>
  </si>
  <si>
    <t>50.53</t>
  </si>
  <si>
    <t>50.54</t>
  </si>
  <si>
    <t>50.55</t>
  </si>
  <si>
    <t>50.56</t>
  </si>
  <si>
    <t>50.57</t>
  </si>
  <si>
    <t>50.58</t>
  </si>
  <si>
    <t>50.59</t>
  </si>
  <si>
    <t>50.60</t>
  </si>
  <si>
    <t>50.61</t>
  </si>
  <si>
    <t>50.62</t>
  </si>
  <si>
    <t>50.63</t>
  </si>
  <si>
    <t>50.64</t>
  </si>
  <si>
    <t>50.65</t>
  </si>
  <si>
    <t>50.66</t>
  </si>
  <si>
    <t>50.67</t>
  </si>
  <si>
    <t>50.68</t>
  </si>
  <si>
    <t>50.69</t>
  </si>
  <si>
    <t>50.70</t>
  </si>
  <si>
    <t>50.71</t>
  </si>
  <si>
    <t>50.72</t>
  </si>
  <si>
    <t>50.73</t>
  </si>
  <si>
    <t>50.74</t>
  </si>
  <si>
    <t>50.75</t>
  </si>
  <si>
    <t>40.38</t>
  </si>
  <si>
    <t>Pasamuro de 4". EL X EL. L = 0,5 m</t>
  </si>
  <si>
    <t>Pasamuro de 6". EL X EL. L = 0,5 m</t>
  </si>
  <si>
    <t>40.39</t>
  </si>
  <si>
    <t>Buje Roscado Presión 1 1/4" x 1/2"</t>
  </si>
  <si>
    <t>23.10.0</t>
  </si>
  <si>
    <t>23.10.1</t>
  </si>
  <si>
    <t>23.10.2</t>
  </si>
  <si>
    <t>23.10.3</t>
  </si>
  <si>
    <t>23.10.4</t>
  </si>
  <si>
    <t>23.10.5</t>
  </si>
  <si>
    <t>23.10.6</t>
  </si>
  <si>
    <t>23.10.7</t>
  </si>
  <si>
    <t>23.10.8</t>
  </si>
  <si>
    <t>23.10.9</t>
  </si>
  <si>
    <t>Adaptador Macho 1/2" PF</t>
  </si>
  <si>
    <t>Adaptador Hembra 1/2" PF</t>
  </si>
  <si>
    <t>Adaptador Macho Presión 1/2"</t>
  </si>
  <si>
    <t>25.30</t>
  </si>
  <si>
    <t>Cinta Teflón x 10m</t>
  </si>
  <si>
    <t>Adaptador Macho Presión 3/4"</t>
  </si>
  <si>
    <t>5.32</t>
  </si>
  <si>
    <t>Sicaflex 11FC Cartucho x 305 CC</t>
  </si>
  <si>
    <t>25.31</t>
  </si>
  <si>
    <t>25.32</t>
  </si>
  <si>
    <t>Niple Galvanizado Extremo Roscado 3/4"  L= 0.05m</t>
  </si>
  <si>
    <t>Unión Roscada HG 3/4"</t>
  </si>
  <si>
    <t>MATERIALES ARQUITECTÓNICOS</t>
  </si>
  <si>
    <t>29.1</t>
  </si>
  <si>
    <t xml:space="preserve">Lamina Acrilico (1.2x1.8) e = 6mm </t>
  </si>
  <si>
    <t>Pintura Anticorrosiva</t>
  </si>
  <si>
    <t>8.11</t>
  </si>
  <si>
    <t>29.2</t>
  </si>
  <si>
    <t>Lamina Alfajor Aluminio 1 x 2 x e = 3.5mm</t>
  </si>
  <si>
    <t>29.3</t>
  </si>
  <si>
    <t xml:space="preserve">Ángulo Aluminio 1 x 1 x 1/8" </t>
  </si>
  <si>
    <t>29.4</t>
  </si>
  <si>
    <t>Bisagra Aluminio x 3"</t>
  </si>
  <si>
    <t>29.5</t>
  </si>
  <si>
    <t>Chazo Plástico 1/4"</t>
  </si>
  <si>
    <t>29.6</t>
  </si>
  <si>
    <t>Tornillo Pamphillips 2" No.8</t>
  </si>
  <si>
    <t>29.7</t>
  </si>
  <si>
    <t>Tornillo Avllanado 1/2" No.8</t>
  </si>
  <si>
    <t>Registro o Llave de Paso tipo Red White 1 1/2" Acueducto</t>
  </si>
  <si>
    <t>Registro o Llave de Paso tipo Red White 1" Acueducto</t>
  </si>
  <si>
    <t>Válvula Esfera apertura rápida 1/4 de vuelta 4"</t>
  </si>
  <si>
    <t>Válvula de regulación directa 3"</t>
  </si>
  <si>
    <t>Silleta Polietileno PE 110 x 20 m.m. para Socket</t>
  </si>
  <si>
    <t>Reducción Unión Platino 2 1/2" x 2"</t>
  </si>
  <si>
    <t>Reducción Unión Platino 3" x 2"</t>
  </si>
  <si>
    <t>Reducción Unión Platino 3" x 2 1/2"</t>
  </si>
  <si>
    <t>Reducción Unión Platino 4" x 2"</t>
  </si>
  <si>
    <t>Reducción Unión Platino 4" x 2 1/2"</t>
  </si>
  <si>
    <t>Reducción Unión Platino 4" x 3"</t>
  </si>
  <si>
    <t>Reducción Unión Platino 6" x 4"</t>
  </si>
  <si>
    <t>Reducción Unión Platino 8" x 6"</t>
  </si>
  <si>
    <t>23.90</t>
  </si>
  <si>
    <t>23.91</t>
  </si>
  <si>
    <t>23.92</t>
  </si>
  <si>
    <t>23.93</t>
  </si>
  <si>
    <t>23.94</t>
  </si>
  <si>
    <t>23.95</t>
  </si>
  <si>
    <t>23.96</t>
  </si>
  <si>
    <t>23.97</t>
  </si>
  <si>
    <t>23.98</t>
  </si>
  <si>
    <t>Tapón Unión Platino 3"</t>
  </si>
  <si>
    <t>Tapón Unión Platino 4"</t>
  </si>
  <si>
    <t>Tapón Unión Platino 6"</t>
  </si>
  <si>
    <t>Tapón Unión Platino 8"</t>
  </si>
  <si>
    <t>23.99</t>
  </si>
  <si>
    <t>Lubricante  Unión Platino x 4 Kg</t>
  </si>
  <si>
    <t>Tubería PF + UAD para acometida de 1/2"</t>
  </si>
  <si>
    <t>Tubería PF + UAD para acometida de 3/4"</t>
  </si>
  <si>
    <t>Unión 1/2"</t>
  </si>
  <si>
    <t>Codo 90° 1/2"</t>
  </si>
  <si>
    <t>22.87</t>
  </si>
  <si>
    <t>22.88</t>
  </si>
  <si>
    <t>22.89</t>
  </si>
  <si>
    <t>22.90</t>
  </si>
  <si>
    <t>22.91</t>
  </si>
  <si>
    <t>22.92</t>
  </si>
  <si>
    <t>22.93</t>
  </si>
  <si>
    <t>22.94</t>
  </si>
  <si>
    <t>22.95</t>
  </si>
  <si>
    <t>22.96</t>
  </si>
  <si>
    <t>22.97</t>
  </si>
  <si>
    <t>22.98</t>
  </si>
  <si>
    <t>22.99</t>
  </si>
  <si>
    <t>22.100</t>
  </si>
  <si>
    <t>22.101</t>
  </si>
  <si>
    <t>22.102</t>
  </si>
  <si>
    <t>22.103</t>
  </si>
  <si>
    <t>ANÁLISIS MANO DE OBRA Y CUADRILLAS</t>
  </si>
  <si>
    <t>Costo total por hora</t>
  </si>
  <si>
    <t xml:space="preserve"> </t>
  </si>
  <si>
    <t>Estimativo General de Herramientas Menores de un Proyecto</t>
  </si>
  <si>
    <t>Cuadrilla de Instalación de Tubería y Accesorios de Acueducto (Cuadrilla tipo 8).</t>
  </si>
  <si>
    <t>Palín con cabo</t>
  </si>
  <si>
    <t>11.28</t>
  </si>
  <si>
    <t>Equipos-Herramien p/Fusión de Tubería</t>
  </si>
  <si>
    <t>Hidrosello Novaloc 45"</t>
  </si>
  <si>
    <t>Hidrosello Novaloc 48"</t>
  </si>
  <si>
    <t>Hidrosello Novaloc 54"</t>
  </si>
  <si>
    <t>21.23</t>
  </si>
  <si>
    <t>21.24</t>
  </si>
  <si>
    <t>21.25</t>
  </si>
  <si>
    <t>21.26</t>
  </si>
  <si>
    <t>21.27</t>
  </si>
  <si>
    <t>21.28</t>
  </si>
  <si>
    <t>21.29</t>
  </si>
  <si>
    <t>21.30</t>
  </si>
  <si>
    <t>21.31</t>
  </si>
  <si>
    <t>21.32</t>
  </si>
  <si>
    <t>Soldadura PVC Barra x 1/8</t>
  </si>
  <si>
    <t>21.33</t>
  </si>
  <si>
    <t>Lubricante Alcantarillado Novaloc x 4</t>
  </si>
  <si>
    <t>21.34</t>
  </si>
  <si>
    <t>Adaptador para domiciliaria 4"</t>
  </si>
  <si>
    <t>21.35</t>
  </si>
  <si>
    <t>Adaptador para domiciliaria 6"</t>
  </si>
  <si>
    <t>Adaptador para domiciliaria 8"</t>
  </si>
  <si>
    <t>21.36</t>
  </si>
  <si>
    <t>21.37</t>
  </si>
  <si>
    <t>Silla Tee Novaloc 24" x 160 mm</t>
  </si>
  <si>
    <t>21.38</t>
  </si>
  <si>
    <t>Silla Tee Novaloc 24" x 200 mm</t>
  </si>
  <si>
    <t>21.39</t>
  </si>
  <si>
    <t>Silla Tee Novaloc 24" x 250 mm</t>
  </si>
  <si>
    <t>21.40</t>
  </si>
  <si>
    <t>Silla Yee Novaloc 24" x 200 mm</t>
  </si>
  <si>
    <t>21.42</t>
  </si>
  <si>
    <t>Silla Yee Novaloc 27" x 200 mm</t>
  </si>
  <si>
    <t>Tubería Presión RDE 13.5  315 PSI de 1/2"</t>
  </si>
  <si>
    <t>22.1</t>
  </si>
  <si>
    <t>Tubería Presión RDE 21  200 PSI de 3/4"</t>
  </si>
  <si>
    <t>Tubería Presión RDE 21  200 PSI de 1 1/4"</t>
  </si>
  <si>
    <t>Tubería Presión RDE 21  200 PSI de 1 1/2"</t>
  </si>
  <si>
    <t>Tubería Presión RDE 21  200 PSI de 2 1/2"</t>
  </si>
  <si>
    <t>22.2</t>
  </si>
  <si>
    <t>22.3</t>
  </si>
  <si>
    <t>22.4</t>
  </si>
  <si>
    <t>22.5</t>
  </si>
  <si>
    <t>22.6</t>
  </si>
  <si>
    <t>22.7</t>
  </si>
  <si>
    <t>Tee Presión Schedule 40 1/2"</t>
  </si>
  <si>
    <t>Tee Presión Schedule 40 3/4"</t>
  </si>
  <si>
    <t>Tee Presión Schedule 40 1"</t>
  </si>
  <si>
    <t>Tee Presión Schedule 40 1 1/4"</t>
  </si>
  <si>
    <t>Tee Presión Schedule 40 1 1/2"</t>
  </si>
  <si>
    <t>Tee Presión Schedule 40 2"</t>
  </si>
  <si>
    <t>Tee Presión Schedule 40 2 1/2"</t>
  </si>
  <si>
    <t>Tee Presión Schedule 40 3"</t>
  </si>
  <si>
    <t>Tee Presión Schedule 40 4"</t>
  </si>
  <si>
    <t>22.10</t>
  </si>
  <si>
    <t>22.11</t>
  </si>
  <si>
    <t>22.12</t>
  </si>
  <si>
    <t>22.13</t>
  </si>
  <si>
    <t>22.14</t>
  </si>
  <si>
    <t>22.15</t>
  </si>
  <si>
    <t>22.16</t>
  </si>
  <si>
    <t>22.17</t>
  </si>
  <si>
    <t>22.18</t>
  </si>
  <si>
    <t>22.19</t>
  </si>
  <si>
    <t>22.20</t>
  </si>
  <si>
    <t>22.21</t>
  </si>
  <si>
    <t>22.22</t>
  </si>
  <si>
    <t>22.23</t>
  </si>
  <si>
    <t>22.24</t>
  </si>
  <si>
    <t>22.25</t>
  </si>
  <si>
    <t>22.26</t>
  </si>
  <si>
    <t>22.27</t>
  </si>
  <si>
    <t>Codo PVC Presión 90° 1/2"</t>
  </si>
  <si>
    <t>Tee Universal Presión1/2"</t>
  </si>
  <si>
    <t>Tee Universal Presión 3/4"</t>
  </si>
  <si>
    <t>Tee Universal Presión 1"</t>
  </si>
  <si>
    <t>Tee Universal Presión 1 1/4"</t>
  </si>
  <si>
    <t>Tee Universal Presión1 1/2"</t>
  </si>
  <si>
    <t>Tee Universal Presión 2"</t>
  </si>
  <si>
    <t>Tee Reducida Presión 3/4" x 1/2"</t>
  </si>
  <si>
    <t>Tee Reducida Presión 1" x 1/2"</t>
  </si>
  <si>
    <t>Tee Reducida Presión 1" x 3/4"</t>
  </si>
  <si>
    <t>Codo PVC Presión 90° 3/4"</t>
  </si>
  <si>
    <t>Codo PVC Presión 90° 1"</t>
  </si>
  <si>
    <t>Codo PVC Presión 90° 1 1/4"</t>
  </si>
  <si>
    <t>Codo PVC Presión 90° 1 1/2"</t>
  </si>
  <si>
    <t>Codo PVC Presión 90° 2"</t>
  </si>
  <si>
    <t>Codo PVC Presión 90° 2" 1/2"</t>
  </si>
  <si>
    <t>Codo PVC Presión 90° 3"</t>
  </si>
  <si>
    <t>Codo PVC Presión 90° 4"</t>
  </si>
  <si>
    <t>22.28</t>
  </si>
  <si>
    <t>22.29</t>
  </si>
  <si>
    <t>22.30</t>
  </si>
  <si>
    <t>22.31</t>
  </si>
  <si>
    <t>22.32</t>
  </si>
  <si>
    <t>22.33</t>
  </si>
  <si>
    <t>22.34</t>
  </si>
  <si>
    <t>22.35</t>
  </si>
  <si>
    <t>22.36</t>
  </si>
  <si>
    <t>Codo PVC Presión 45° 1/2"</t>
  </si>
  <si>
    <t>Codo PVC Presión 45° 3/4"</t>
  </si>
  <si>
    <t>Codo PVC Presión 45° 1"</t>
  </si>
  <si>
    <t>Codo PVC Presión 45° 1 1/4"</t>
  </si>
  <si>
    <t>Codo PVC Presión 45° 1 1/2"</t>
  </si>
  <si>
    <t>Codo PVC Presión 45° 2"</t>
  </si>
  <si>
    <t>Codo PVC Presión 45° 2" 1/2"</t>
  </si>
  <si>
    <t>Codo PVC Presión 45° 3"</t>
  </si>
  <si>
    <t>Codo PVC Presión 45° 4"</t>
  </si>
  <si>
    <t>22.37</t>
  </si>
  <si>
    <t>22.38</t>
  </si>
  <si>
    <t>22.39</t>
  </si>
  <si>
    <t>22.40</t>
  </si>
  <si>
    <t>22.41</t>
  </si>
  <si>
    <t>22.42</t>
  </si>
  <si>
    <t>22.43</t>
  </si>
  <si>
    <t>22.44</t>
  </si>
  <si>
    <t>22.45</t>
  </si>
  <si>
    <t>Unión PVC Presión 1/2"</t>
  </si>
  <si>
    <t>Unión PVC Presión 3/4"</t>
  </si>
  <si>
    <t>Unión PVC Presión 1"</t>
  </si>
  <si>
    <t>Unión PVC Presión 1 1/4"</t>
  </si>
  <si>
    <t>Unión PVC Presión 1 1/2"</t>
  </si>
  <si>
    <t>Unión PVC Presión 2"</t>
  </si>
  <si>
    <t>Unión PVC Presión 2 1/2"</t>
  </si>
  <si>
    <t>Unión PVC Presión 3"</t>
  </si>
  <si>
    <t>Unión PVC Presión 4"</t>
  </si>
  <si>
    <t>22.46</t>
  </si>
  <si>
    <t>22.47</t>
  </si>
  <si>
    <t>22.48</t>
  </si>
  <si>
    <t>22.49</t>
  </si>
  <si>
    <t>22.50</t>
  </si>
  <si>
    <t>22.51</t>
  </si>
  <si>
    <t>22.52</t>
  </si>
  <si>
    <t>22.53</t>
  </si>
  <si>
    <t>22.54</t>
  </si>
  <si>
    <t>Adaptador Macho 1/2"</t>
  </si>
  <si>
    <t>Adaptador Macho 3/4"</t>
  </si>
  <si>
    <t>Adaptador Macho 1"</t>
  </si>
  <si>
    <t>Adaptador Macho 1 1/4"</t>
  </si>
  <si>
    <t>Adaptador Macho 1 1/2"</t>
  </si>
  <si>
    <t>Adaptador Macho 2"</t>
  </si>
  <si>
    <t>Adaptador Macho 2 1/2"</t>
  </si>
  <si>
    <t>Adaptador Macho 3"</t>
  </si>
  <si>
    <t>Adaptador Macho 4"</t>
  </si>
  <si>
    <t>22.55</t>
  </si>
  <si>
    <t>22.56</t>
  </si>
  <si>
    <t>22.57</t>
  </si>
  <si>
    <t>22.58</t>
  </si>
  <si>
    <t>22.59</t>
  </si>
  <si>
    <t>22.60</t>
  </si>
  <si>
    <t>22.61</t>
  </si>
  <si>
    <t>22.62</t>
  </si>
  <si>
    <t>22.63</t>
  </si>
  <si>
    <t>Adaptador Hembra 1/2"</t>
  </si>
  <si>
    <t>Adaptador Hembra 3/4"</t>
  </si>
  <si>
    <t>Adaptador Hembra 1"</t>
  </si>
  <si>
    <t>Adaptador Hembra 1 1/4"</t>
  </si>
  <si>
    <t>Adaptador Hembra 1 1/2"</t>
  </si>
  <si>
    <t>CÁLCULO DEL A.I.U.</t>
  </si>
  <si>
    <t>EMPOCALDAS S.A. E.S.P.</t>
  </si>
  <si>
    <t>CALCULO DETALLADO DEL VALOR PORCENTUAL DEL A.I.U.</t>
  </si>
  <si>
    <t>CARGO</t>
  </si>
  <si>
    <t>CANTIDAD SMMLV</t>
  </si>
  <si>
    <t>VALOR SALARIO</t>
  </si>
  <si>
    <t>% PRESTACIONES</t>
  </si>
  <si>
    <t>VALOR TOTAL</t>
  </si>
  <si>
    <t>INGENIERO DIRECTOR</t>
  </si>
  <si>
    <t>Duración estimada del Proyecto en meses</t>
  </si>
  <si>
    <t>INGENIERO RESIDENTE</t>
  </si>
  <si>
    <t>Costo directo total del Proyecto</t>
  </si>
  <si>
    <t>AUXILIAR INGENIERIA</t>
  </si>
  <si>
    <t>PROFESIONAL GESTION SOCIAL</t>
  </si>
  <si>
    <t xml:space="preserve">A.I.U. Asumido para el cálculo </t>
  </si>
  <si>
    <t>SECRETARIA</t>
  </si>
  <si>
    <t>Valor total estimado del Proyecto</t>
  </si>
  <si>
    <t>MENSAJERO</t>
  </si>
  <si>
    <t>VR UNITARIO</t>
  </si>
  <si>
    <t xml:space="preserve">DEDICACIÒN Y/O PORCENTAJE DE UTILIZACIÓN </t>
  </si>
  <si>
    <t>VR. TOTAL</t>
  </si>
  <si>
    <t>ALMACENISTA</t>
  </si>
  <si>
    <t>GASTOS ARRENDAMIENTO Y OFICINA</t>
  </si>
  <si>
    <t>CELADOR</t>
  </si>
  <si>
    <t>Promedios para Polizas</t>
  </si>
  <si>
    <t>CUADRILLA TIPO 1</t>
  </si>
  <si>
    <t xml:space="preserve">Arrendamiento de la Oficina Ppal </t>
  </si>
  <si>
    <t>Valores</t>
  </si>
  <si>
    <t>%</t>
  </si>
  <si>
    <t>Promedio</t>
  </si>
  <si>
    <t>Servicios públicos de la Obra</t>
  </si>
  <si>
    <t>Gastos Oficina Ppal</t>
  </si>
  <si>
    <t>Transportes en Obra</t>
  </si>
  <si>
    <t>Arrendamiento Almacén</t>
  </si>
  <si>
    <t>Costo de Comunicaciones</t>
  </si>
  <si>
    <t>Dotación Almacen</t>
  </si>
  <si>
    <t>GASTOS DE LEGALIZACIÓN E IMPUESTOS</t>
  </si>
  <si>
    <t>Póliza de Anticipo</t>
  </si>
  <si>
    <t>Póliza de Cumplimiento</t>
  </si>
  <si>
    <t>Póliza de Salarios y Prestaciones Sociales</t>
  </si>
  <si>
    <t>Póliza de Estabilidad</t>
  </si>
  <si>
    <t>Póliza de Responsabilidad Civil</t>
  </si>
  <si>
    <t>Estampillas Prouniversidad de Caldas y Universidad  Nacional Sede Manizales</t>
  </si>
  <si>
    <t>Estampillas Prodesarrollo</t>
  </si>
  <si>
    <t>Estampillas ProHospital de Caldas</t>
  </si>
  <si>
    <t>Gastos de Publicación</t>
  </si>
  <si>
    <t>PERSONAL ADMINISTRATIVO</t>
  </si>
  <si>
    <t>Secretaria de la Oficina Ppal</t>
  </si>
  <si>
    <t>Elementos de Seguridad Personal en Obra</t>
  </si>
  <si>
    <t>Frente</t>
  </si>
  <si>
    <t>PERSONAL TÉCNICO</t>
  </si>
  <si>
    <t>Ingeniero Director (Con Prestac. Sociales)</t>
  </si>
  <si>
    <t>Ingeniero Residente (Con Prestac. Sociales)</t>
  </si>
  <si>
    <t>Valor total de los Costos de Legalización y Administración</t>
  </si>
  <si>
    <t>Valor porcentual de la Legalización y Administración</t>
  </si>
  <si>
    <t>Valor porcentual de los Imprevistos</t>
  </si>
  <si>
    <t>Valor porcentual de la Utilidad estimada</t>
  </si>
  <si>
    <t>Valor Total porcentual del A.I.U.</t>
  </si>
  <si>
    <t>Almacenista de la Obra (Incluye Prestaciones)</t>
  </si>
  <si>
    <t>Celador de la Obra (Incluye Prestaciones)</t>
  </si>
  <si>
    <t>Alquiler Taco Metálico telescópico de 3.0 m.</t>
  </si>
  <si>
    <t xml:space="preserve">Comisión de Topografía con Equipos </t>
  </si>
  <si>
    <t>Alquiler Mezcladora 1 Saco a Gasolina</t>
  </si>
  <si>
    <t>Alquiler Vibrador Eléctrico</t>
  </si>
  <si>
    <t>Alquiler Regla Vibratoria</t>
  </si>
  <si>
    <t>Pistola Aplicadora</t>
  </si>
  <si>
    <t>20.32</t>
  </si>
  <si>
    <t>Hidrosello Novafort 110 mm S8</t>
  </si>
  <si>
    <t>20.33</t>
  </si>
  <si>
    <t>Hidrosello Novafort 160 mm S8 y S4</t>
  </si>
  <si>
    <t>20.34</t>
  </si>
  <si>
    <t>Hidrosello Novafort 200 mm S8 y S4</t>
  </si>
  <si>
    <t>20.35</t>
  </si>
  <si>
    <t>Hidrosello Novafort 250 mm S8</t>
  </si>
  <si>
    <t>20.36</t>
  </si>
  <si>
    <t>Hidrosello Novafort 315 mm S8 y S4</t>
  </si>
  <si>
    <t>20.37</t>
  </si>
  <si>
    <t>Hidrosello Novafort 355 mm S8 y S4</t>
  </si>
  <si>
    <t>20.38</t>
  </si>
  <si>
    <t>Hidrosello Novafort 400 mm S8</t>
  </si>
  <si>
    <t>20.39</t>
  </si>
  <si>
    <t>Hidrosello Novafort 450 mm S8</t>
  </si>
  <si>
    <t>20.40</t>
  </si>
  <si>
    <t>Hidrosello Novafort 500 mm S8</t>
  </si>
  <si>
    <t>20.41</t>
  </si>
  <si>
    <t>Adaptador Novafort - Sanitaria 110 mm x 4"</t>
  </si>
  <si>
    <t>20.42</t>
  </si>
  <si>
    <t>Adaptador Novafort - Sanitaria 160 mm x 6"</t>
  </si>
  <si>
    <t>20.43</t>
  </si>
  <si>
    <t>Adaptador Novafort - Sanitaria 200 mm x 6"</t>
  </si>
  <si>
    <t>NOVALOC</t>
  </si>
  <si>
    <t>21.1</t>
  </si>
  <si>
    <t>Tubería Pvc Novaloc 30"</t>
  </si>
  <si>
    <t>Tubería Pvc Novaloc 33"</t>
  </si>
  <si>
    <t>Tubería Pvc Novaloc 39"</t>
  </si>
  <si>
    <t>Tubería Pvc Novaloc 42"</t>
  </si>
  <si>
    <t>Tubería Pvc Novaloc 45"</t>
  </si>
  <si>
    <t>Tubería Pvc Novaloc 48"</t>
  </si>
  <si>
    <t>Tubería Pvc Novaloc 54"</t>
  </si>
  <si>
    <t>Tubería Pvc Novaloc 57"</t>
  </si>
  <si>
    <t>21.2</t>
  </si>
  <si>
    <t>21.3</t>
  </si>
  <si>
    <t>21.4</t>
  </si>
  <si>
    <t>21.5</t>
  </si>
  <si>
    <t>21.6</t>
  </si>
  <si>
    <t>21.7</t>
  </si>
  <si>
    <t>21.8</t>
  </si>
  <si>
    <t>21.9</t>
  </si>
  <si>
    <t>21.10</t>
  </si>
  <si>
    <t>21.11</t>
  </si>
  <si>
    <t>Unión 24"</t>
  </si>
  <si>
    <t>Unión 27"</t>
  </si>
  <si>
    <t>Unión 30"</t>
  </si>
  <si>
    <t>Unión 33"</t>
  </si>
  <si>
    <t>Unión 36"</t>
  </si>
  <si>
    <t>Unión 39"</t>
  </si>
  <si>
    <t>Unión 42"</t>
  </si>
  <si>
    <t>Unión 45"</t>
  </si>
  <si>
    <t>Unión 48"</t>
  </si>
  <si>
    <t>Unión 54"</t>
  </si>
  <si>
    <t>Unión 57"</t>
  </si>
  <si>
    <t>21.12</t>
  </si>
  <si>
    <t>21.13</t>
  </si>
  <si>
    <t>21.14</t>
  </si>
  <si>
    <t>21.15</t>
  </si>
  <si>
    <t>21.16</t>
  </si>
  <si>
    <t>21.17</t>
  </si>
  <si>
    <t>21.18</t>
  </si>
  <si>
    <t>21.19</t>
  </si>
  <si>
    <t>21.20</t>
  </si>
  <si>
    <t>21.21</t>
  </si>
  <si>
    <t>21.22</t>
  </si>
  <si>
    <t>11.26</t>
  </si>
  <si>
    <t>Permiso Utilización Escombrera</t>
  </si>
  <si>
    <t>12.5</t>
  </si>
  <si>
    <t>Sobreacarreo de Materiales</t>
  </si>
  <si>
    <t>M3-KM</t>
  </si>
  <si>
    <t>4.1.1.1</t>
  </si>
  <si>
    <t>Puntilla de 4" a 6"</t>
  </si>
  <si>
    <t>Teja de Zinc No. 7</t>
  </si>
  <si>
    <t>Teja de Zinc No. 8</t>
  </si>
  <si>
    <t>Teja de Zinc No. 10</t>
  </si>
  <si>
    <t>Herbicida tipo Roundup para protección Arena</t>
  </si>
  <si>
    <t>Litro</t>
  </si>
  <si>
    <t>Costal de fibra</t>
  </si>
  <si>
    <t>Ladrillo o bloque de cemento</t>
  </si>
  <si>
    <t>Óxido de hierro</t>
  </si>
  <si>
    <t>Pasamanos en tuberia galvanizada</t>
  </si>
  <si>
    <t>Tierra negra</t>
  </si>
  <si>
    <t>Palma</t>
  </si>
  <si>
    <t>Urea</t>
  </si>
  <si>
    <t>Bulto 1/100</t>
  </si>
  <si>
    <t>CONCRETOS PREMEZCLADOS</t>
  </si>
  <si>
    <t>Concreto Premezclado Mr 42 acelerado a 3 días</t>
  </si>
  <si>
    <t>Concreto Premezclado Mr 42 acelerado a 7 días</t>
  </si>
  <si>
    <t xml:space="preserve">Relleno Fluido 20 </t>
  </si>
  <si>
    <t>Silleta Polietileno PE 110 x 32 m.m. para Socket</t>
  </si>
  <si>
    <t>Adaptador macho PE 32 mm</t>
  </si>
  <si>
    <t>Válvula Antifraude de 20 m.m. para Acometida Acueducto</t>
  </si>
  <si>
    <t>Válvula de Compuerta elástica vástago no ascendente Hf de 6" para Acueducto E.L</t>
  </si>
  <si>
    <t>Válvula de Compuerta elástica vástago no ascendente Hf de 4" para Acueducto E.L</t>
  </si>
  <si>
    <t>Válvula de Compuerta elástica vástago no ascendente Hf de 3" para Acueducto E.L</t>
  </si>
  <si>
    <t>Válvula de Compuerta elástica vástago no ascendente Hf de 8" para Acueducto BRIDADA</t>
  </si>
  <si>
    <t>Válvula de Compuerta elástica vástago no ascendente Hf de 6" para Acueducto BRIDADA</t>
  </si>
  <si>
    <t>Válvula de Compuerta elástica vástago no ascendente Hf de 4" para Acueducto BRIDADA</t>
  </si>
  <si>
    <t>Válvula de Compuerta elástica vástago no ascendente Hf de 3" para Acueducto BRIDADA</t>
  </si>
  <si>
    <t>Válvula de Compuerta elástica vástago no ascendente Hf de 2" para Acueducto BRIDADA</t>
  </si>
  <si>
    <t>Caja Rectangular HF con logotipo de Aguas de Mzales</t>
  </si>
  <si>
    <t>Hidrante bridado HF tipo Tráfico de 4"</t>
  </si>
  <si>
    <t>Hidrante bridado HF tipo Tráfico de 3"</t>
  </si>
  <si>
    <t>Tapa portaválvula HD</t>
  </si>
  <si>
    <t>TUBERIA HIERRO DÚCTIL</t>
  </si>
  <si>
    <t>Tubo de Hierro Dúctil estándar C-E de 150 m.m. (6")</t>
  </si>
  <si>
    <t>Tubo de Hierro Dúctil estándar C-E de 200 m.m. (8")</t>
  </si>
  <si>
    <t>Tubo de Hierro Dúctil estándar C-E de 250 m.m. (10")</t>
  </si>
  <si>
    <t>Tubo de Hierro Dúctil estándar C-E de 300 m.m. (12")</t>
  </si>
  <si>
    <t>Tubo de Hierro Dúctil estándar C-E de 500 m.m. (20")</t>
  </si>
  <si>
    <t>Tubo de Hierro Dúctil estándar C-E de 700 m.m. (27")</t>
  </si>
  <si>
    <t>TUBERIA POLIETILENO</t>
  </si>
  <si>
    <t>Tubo de Polietileno PE 100 A.D. PN 10 de 250 m.m. (10")</t>
  </si>
  <si>
    <t>Tubo de Polietileno PE 100 A.D. PN 12,5 de 250 m.m. (10")</t>
  </si>
  <si>
    <t>Tubo de Polietileno PE 100 A.D. PN 16 de 250 m.m. (10")</t>
  </si>
  <si>
    <t>Tubo de Polietileno PE 100 A.D. PN 10 de 200 m.m. (8")</t>
  </si>
  <si>
    <t>Tubo de Polietileno PE 100 A.D. PN 12,5 de 200 m.m. (8")</t>
  </si>
  <si>
    <t>Tubo de Polietileno PE 100 A.D. PN 16 de 200 m.m. (8")</t>
  </si>
  <si>
    <t>Tubo de Polietileno PE 100 A.D. PN 10 de 160 m.m. (6")</t>
  </si>
  <si>
    <t>Tubo de Polietileno PE 100 A.D. PN 12,5 de 160 m.m. (6")</t>
  </si>
  <si>
    <t>Tubo de Polietileno PE 100 A.D. PN 16 de 160 m.m. (6")</t>
  </si>
  <si>
    <t>Tubo de Polietileno PE 100 A.D. PN 10 de 110 m.m. (4")</t>
  </si>
  <si>
    <t>Tubo de Polietileno PE 100 A.D. PN 12,5 de 110 m.m. (4")</t>
  </si>
  <si>
    <t>Tubo de Polietileno PE 100 A.D. PN 16 de 110 m.m. (4")</t>
  </si>
  <si>
    <t>24.6</t>
  </si>
  <si>
    <t>24.7</t>
  </si>
  <si>
    <t>24.8</t>
  </si>
  <si>
    <t>24.9</t>
  </si>
  <si>
    <t>24.10</t>
  </si>
  <si>
    <t>24.11</t>
  </si>
  <si>
    <t>24.12</t>
  </si>
  <si>
    <t>24.13</t>
  </si>
  <si>
    <t>24.14</t>
  </si>
  <si>
    <t>24.15</t>
  </si>
  <si>
    <t>TUBERÍA Y ACCESORIOS BIAXIAL</t>
  </si>
  <si>
    <t>25.29</t>
  </si>
  <si>
    <t>Wipe ó Estopa de Algodón</t>
  </si>
  <si>
    <t>11.29</t>
  </si>
  <si>
    <t>Equipos y Herramientas p/Fusión Socket</t>
  </si>
  <si>
    <t>EVACUACIÓN DE ESCOMBROS</t>
  </si>
  <si>
    <t>EXCAVACIONES</t>
  </si>
  <si>
    <t>Hidrosello Novaloc 24"</t>
  </si>
  <si>
    <t>Hidrosello Novaloc 27"</t>
  </si>
  <si>
    <t>Hidrosello Novaloc 30"</t>
  </si>
  <si>
    <t>Hidrosello Novaloc 33"</t>
  </si>
  <si>
    <t>Hidrosello Novaloc 36"</t>
  </si>
  <si>
    <t>Hidrosello Novaloc 39"</t>
  </si>
  <si>
    <t>Hidrosello Novaloc 42"</t>
  </si>
  <si>
    <t>29.8</t>
  </si>
  <si>
    <t>Tanque Plástico con Tapa de 500 Litros</t>
  </si>
  <si>
    <t>13.32</t>
  </si>
  <si>
    <t>Zaranda para clasificación de materiales petreos</t>
  </si>
  <si>
    <t>25.33</t>
  </si>
  <si>
    <t>Tornillos de 3" x 5/8", Tuerca y Arandela</t>
  </si>
  <si>
    <t>25.34</t>
  </si>
  <si>
    <t>Empaques</t>
  </si>
  <si>
    <t>25.35</t>
  </si>
  <si>
    <t>Brida por acople universal HD 6" Tipo R1</t>
  </si>
  <si>
    <t>25.36</t>
  </si>
  <si>
    <t>Brida por acople universal HD 4" Tipo R1</t>
  </si>
  <si>
    <t>25.37</t>
  </si>
  <si>
    <t>Codo HG de 90° 3/4"</t>
  </si>
  <si>
    <t>25.38</t>
  </si>
  <si>
    <t>Válvula de Bola PVC Presión Roscada de 1/2"</t>
  </si>
  <si>
    <t>25.39</t>
  </si>
  <si>
    <t>Registro o Llave de Paso tipo Red White 3/4" Acueducto</t>
  </si>
  <si>
    <t>25.40</t>
  </si>
  <si>
    <t>25.41</t>
  </si>
  <si>
    <t>Válvula Mariposa BxB Tipo Wafer 4". Cuerpo de Hierro N° 150 Disco-Acero Inoxidable mando de palanca marca apollo o similar.</t>
  </si>
  <si>
    <t>Válvula Mariposa BxB Tipo Wafer 6". Cuerpo de Hierro N° 150 Disco-Acero Inoxidable mando de palanca marca apollo o similar.</t>
  </si>
  <si>
    <t>M2</t>
  </si>
  <si>
    <t>Un</t>
  </si>
  <si>
    <t>Pala con cabo</t>
  </si>
  <si>
    <t>Pica con cabo</t>
  </si>
  <si>
    <t>Almadana con cabo</t>
  </si>
  <si>
    <t>Barra Metálica</t>
  </si>
  <si>
    <t>Baldes plásticos</t>
  </si>
  <si>
    <t>Carreta Buggy</t>
  </si>
  <si>
    <t>No. Estimado de usos</t>
  </si>
  <si>
    <t>Gl</t>
  </si>
  <si>
    <t>Día</t>
  </si>
  <si>
    <t>Costo total</t>
  </si>
  <si>
    <t>Costo Total por uso</t>
  </si>
  <si>
    <t>Cuadrilla Producción e Instalación Concreto para Estructuras (Cuadrilla tipo 7)</t>
  </si>
  <si>
    <t>Costo Promedio de Herramientas</t>
  </si>
  <si>
    <t>Actividad</t>
  </si>
  <si>
    <t>Subtotales</t>
  </si>
  <si>
    <t>CUADRILLAS DE MANO DE OBRA</t>
  </si>
  <si>
    <t>Cuadrilla Manejo-Movilización Escombros 3 Ayudantes(Cuadrilla tipo 5)</t>
  </si>
  <si>
    <t>Manila de 1/2"</t>
  </si>
  <si>
    <t>Cuadrilla Cargue/Evacuación Escombros 4 Ayudantes (Cuadrilla tipo 4)</t>
  </si>
  <si>
    <t>Cuadrilla Excavación y transporte Interno sobrantes 6 Ayudantes(Cuadrilla tipo 6)</t>
  </si>
  <si>
    <t>Estambul</t>
  </si>
  <si>
    <t>Valor promedio por Herramientas para un Proyecto Típico</t>
  </si>
  <si>
    <t>ANÁLISIS PRECIOS UNITARIOS BÁSICOS</t>
  </si>
  <si>
    <t>Concreto 1:3:6 para solado de limpieza</t>
  </si>
  <si>
    <t>Descripción</t>
  </si>
  <si>
    <t>Unidad</t>
  </si>
  <si>
    <t>Cantidad</t>
  </si>
  <si>
    <t>Valor unitario</t>
  </si>
  <si>
    <t>Valor Total</t>
  </si>
  <si>
    <t>Cemento</t>
  </si>
  <si>
    <t>Kg</t>
  </si>
  <si>
    <t>Arena</t>
  </si>
  <si>
    <t>M3</t>
  </si>
  <si>
    <t>Gravilla</t>
  </si>
  <si>
    <t>Agua</t>
  </si>
  <si>
    <t>Costo total por M3</t>
  </si>
  <si>
    <t xml:space="preserve">Concreto MR 42 KG/CM2 - MATERIAL CANTERA LA VIRGEN </t>
  </si>
  <si>
    <t>Arena lavada</t>
  </si>
  <si>
    <t>Triturado</t>
  </si>
  <si>
    <t>Cuadrilla Tipo 4</t>
  </si>
  <si>
    <t>Mezcladora</t>
  </si>
  <si>
    <t xml:space="preserve">Instalaciones provisionales </t>
  </si>
  <si>
    <t>Herramienta menor</t>
  </si>
  <si>
    <t xml:space="preserve">Concreto MR 45 KG/CM2 - MATERIAL CANTERA LA VIRGEN </t>
  </si>
  <si>
    <t>Concreto Clase II (21Mpa) Producido en Obra</t>
  </si>
  <si>
    <t>Concreto Clase I (28Mpa) Producido en Obra</t>
  </si>
  <si>
    <t>Concreto (14  Mpa) Producido en Obra</t>
  </si>
  <si>
    <t>Concreto (17,5 Mpa) Producido en Obra</t>
  </si>
  <si>
    <t>Concreto Ciclópeo Clase II (21 Mpa)  Producido en Obra</t>
  </si>
  <si>
    <t xml:space="preserve">Concreto clase II </t>
  </si>
  <si>
    <t>Piedra</t>
  </si>
  <si>
    <t>Concreto 24,5 Mpa Producido en Obra</t>
  </si>
  <si>
    <t>Mortero 1: 3</t>
  </si>
  <si>
    <t>Mortero 1: 2</t>
  </si>
  <si>
    <t>Mortero 1: 5</t>
  </si>
  <si>
    <t>CUADRO RESUMEN DE PRECIOS UNITARIOS DE MATERIALES</t>
  </si>
  <si>
    <t>ITEM</t>
  </si>
  <si>
    <t>DESCRIPCION</t>
  </si>
  <si>
    <t>UNIDAD</t>
  </si>
  <si>
    <t>VR. UNITARIO</t>
  </si>
  <si>
    <t xml:space="preserve">MATERIALES SEÑALIZACIÓN </t>
  </si>
  <si>
    <t>Valla General del Proyecto (4.0x2.0 Mt)</t>
  </si>
  <si>
    <t>Torrecilla para apoyo de Valla General</t>
  </si>
  <si>
    <t>Valla Informativa pintada (1.0 x 0.6 Mt)</t>
  </si>
  <si>
    <t>Señal Preventiva/Reglamentaria</t>
  </si>
  <si>
    <t>Valla Informativa tipo Trípode</t>
  </si>
  <si>
    <t>Delineador Tubular Plástico</t>
  </si>
  <si>
    <t>Malla para cerramiento en Yute H= 2.10 m</t>
  </si>
  <si>
    <t>Cinta Reflectiva de Seguridad logo de Aguas</t>
  </si>
  <si>
    <t>HERRAMIENTA MENOR</t>
  </si>
  <si>
    <t>Balde plástico</t>
  </si>
  <si>
    <t>Carreta Buggy Liviana</t>
  </si>
  <si>
    <t>Almadana 10 Lb</t>
  </si>
  <si>
    <t>Barra Metálica 14 Lb</t>
  </si>
  <si>
    <t>Manila de 1/2" para Excavación</t>
  </si>
  <si>
    <t>Explosivos para Excavación</t>
  </si>
  <si>
    <t>IMPLEMENTOS DOTACIÓN DEL PERSONAL</t>
  </si>
  <si>
    <t>Casco normatizado tipo común</t>
  </si>
  <si>
    <t>Casco normatizado tipo Ingeniero</t>
  </si>
  <si>
    <t>Chaleco Reflectivo marcado</t>
  </si>
  <si>
    <t>Guantes de Caucho extra-largos</t>
  </si>
  <si>
    <t>Tapones para protección de Oídos</t>
  </si>
  <si>
    <t>Mascarilla para protección respiratoria</t>
  </si>
  <si>
    <t>Gafas policarbonato para protección de ojos</t>
  </si>
  <si>
    <t>Botas de caucho</t>
  </si>
  <si>
    <t>Arneses (incluye slinga)</t>
  </si>
  <si>
    <t>Botiquín</t>
  </si>
  <si>
    <t xml:space="preserve">Camilla </t>
  </si>
  <si>
    <t>MATERIALES PARA CONCRETOS Y MORTEROS</t>
  </si>
  <si>
    <t>Agua para Concretos</t>
  </si>
  <si>
    <t>Arena de Río lavada para Concreto</t>
  </si>
  <si>
    <t>Gravilla de Río lavada para Concreto</t>
  </si>
  <si>
    <t>Piedra de mano para Ciclópeo/Gavión</t>
  </si>
  <si>
    <t>Sucio de Río para Afirmados</t>
  </si>
  <si>
    <t>Afirmado tipo El Faro</t>
  </si>
  <si>
    <t>Recebo tipo El Faro</t>
  </si>
  <si>
    <t>Base triturada tipo Invías</t>
  </si>
  <si>
    <t>Base en Relleno Fluído tipo B60</t>
  </si>
  <si>
    <t>Material Común (Tierra) de Cantera de Préstamo p/Relleno</t>
  </si>
  <si>
    <t>M3 suelto</t>
  </si>
  <si>
    <t>Material granular para Subdrén</t>
  </si>
  <si>
    <t>Buje Soldado Sanitario 3" x 2"</t>
  </si>
  <si>
    <t>Buje Soldado Sanitario 4" x 2"</t>
  </si>
  <si>
    <t>Buje Soldado Sanitario 4" x 3"</t>
  </si>
  <si>
    <t>Buje Soldado Sanitario 6" x 4"</t>
  </si>
  <si>
    <t>Adaptador de Limpieza Sanitario 2"</t>
  </si>
  <si>
    <t>Adaptador de Limpieza Sanitario 3"</t>
  </si>
  <si>
    <t>Adaptador de Limpieza Sanitario 4"</t>
  </si>
  <si>
    <t>Adaptador de Limpieza Sanitario 6"</t>
  </si>
  <si>
    <t>Tapón de Prueba Sanitario 1 1/2"</t>
  </si>
  <si>
    <t>Tapón de Prueba Sanitario 2"</t>
  </si>
  <si>
    <t>Tapón de Prueba Sanitario 3"</t>
  </si>
  <si>
    <t>Tapón de Prueba Sanitario 4"</t>
  </si>
  <si>
    <t>19.1</t>
  </si>
  <si>
    <t>19.2</t>
  </si>
  <si>
    <t>19.3</t>
  </si>
  <si>
    <t>19.4</t>
  </si>
  <si>
    <t>19.5</t>
  </si>
  <si>
    <t>19.6</t>
  </si>
  <si>
    <t>19.7</t>
  </si>
  <si>
    <t>19.8</t>
  </si>
  <si>
    <t>19.9</t>
  </si>
  <si>
    <t>19.10</t>
  </si>
  <si>
    <t>19.11</t>
  </si>
  <si>
    <t>19.12</t>
  </si>
  <si>
    <t>19.13</t>
  </si>
  <si>
    <t>19.14</t>
  </si>
  <si>
    <t>19.15</t>
  </si>
  <si>
    <t>19.16</t>
  </si>
  <si>
    <t>19.17</t>
  </si>
  <si>
    <t>19.18</t>
  </si>
  <si>
    <t>19.19</t>
  </si>
  <si>
    <t>19.20</t>
  </si>
  <si>
    <t>19.21</t>
  </si>
  <si>
    <t>19.22</t>
  </si>
  <si>
    <t>19.23</t>
  </si>
  <si>
    <t>19.24</t>
  </si>
  <si>
    <t>19.25</t>
  </si>
  <si>
    <t>19.26</t>
  </si>
  <si>
    <t>19.27</t>
  </si>
  <si>
    <t>19.28</t>
  </si>
  <si>
    <t>19.29</t>
  </si>
  <si>
    <t>19.30</t>
  </si>
  <si>
    <t>19.31</t>
  </si>
  <si>
    <t>19.32</t>
  </si>
  <si>
    <t>19.33</t>
  </si>
  <si>
    <t>19.34</t>
  </si>
  <si>
    <t>19.35</t>
  </si>
  <si>
    <t>19.36</t>
  </si>
  <si>
    <t>19.37</t>
  </si>
  <si>
    <t>19.38</t>
  </si>
  <si>
    <t>19.39</t>
  </si>
  <si>
    <t>19.40</t>
  </si>
  <si>
    <t>19.41</t>
  </si>
  <si>
    <t>19.42</t>
  </si>
  <si>
    <t>19.43</t>
  </si>
  <si>
    <t>19.44</t>
  </si>
  <si>
    <t>19.45</t>
  </si>
  <si>
    <t>19.46</t>
  </si>
  <si>
    <t>19.47</t>
  </si>
  <si>
    <t>19.48</t>
  </si>
  <si>
    <t>19.49</t>
  </si>
  <si>
    <t>19.50</t>
  </si>
  <si>
    <t>19.51</t>
  </si>
  <si>
    <t>19.52</t>
  </si>
  <si>
    <t>19.53</t>
  </si>
  <si>
    <t>19.54</t>
  </si>
  <si>
    <t>19.55</t>
  </si>
  <si>
    <t>19.56</t>
  </si>
  <si>
    <t>19.57</t>
  </si>
  <si>
    <t>19.58</t>
  </si>
  <si>
    <t>19.59</t>
  </si>
  <si>
    <t>NOVAFORT</t>
  </si>
  <si>
    <t>20.1</t>
  </si>
  <si>
    <t>20.2</t>
  </si>
  <si>
    <t>20.3</t>
  </si>
  <si>
    <t>20.4</t>
  </si>
  <si>
    <t>20.5</t>
  </si>
  <si>
    <t>20.7</t>
  </si>
  <si>
    <t>20.8</t>
  </si>
  <si>
    <t>20.9</t>
  </si>
  <si>
    <t>Kit Silla Yee 160 x 110 mm</t>
  </si>
  <si>
    <t>20.10</t>
  </si>
  <si>
    <t>Kit Silla Yee 200 x 110 mm</t>
  </si>
  <si>
    <t>20.11</t>
  </si>
  <si>
    <t>Kit Silla Yee 200 x 160 mm</t>
  </si>
  <si>
    <t>20.12</t>
  </si>
  <si>
    <t>Kit Silla Yee 250 x 110 mm</t>
  </si>
  <si>
    <t>20.13</t>
  </si>
  <si>
    <t>Kit Silla Yee 250 x 160 mm</t>
  </si>
  <si>
    <t>20.14</t>
  </si>
  <si>
    <t>Kit Silla Yee 315 x 110 mm</t>
  </si>
  <si>
    <t>20.15</t>
  </si>
  <si>
    <t>Kit Silla Yee 315 x 160 mm</t>
  </si>
  <si>
    <t>20.16</t>
  </si>
  <si>
    <t>Silla Yee 315 x 200 mm</t>
  </si>
  <si>
    <t>20.17</t>
  </si>
  <si>
    <t>Silla Yee 355 x 110 mm</t>
  </si>
  <si>
    <t>20.18</t>
  </si>
  <si>
    <t>Silla Yee 355 x 160 mm</t>
  </si>
  <si>
    <t>Silla Yee 355 x 200 mm</t>
  </si>
  <si>
    <t>20.20</t>
  </si>
  <si>
    <t>Silla Yee 400 x 110 mm</t>
  </si>
  <si>
    <t>20.21</t>
  </si>
  <si>
    <t>Silla Yee 400 x 160 mm</t>
  </si>
  <si>
    <t>20.22</t>
  </si>
  <si>
    <t>Silla Yee 400 x 200 mm</t>
  </si>
  <si>
    <t>20.23</t>
  </si>
  <si>
    <t xml:space="preserve">Silla Yee 400 x 250 mm </t>
  </si>
  <si>
    <t>20.24</t>
  </si>
  <si>
    <t>Silla Yee 450 x 160 mm</t>
  </si>
  <si>
    <t>20.26</t>
  </si>
  <si>
    <t>Silla Yee 450 x 200 mm</t>
  </si>
  <si>
    <t>20.27</t>
  </si>
  <si>
    <t>Silla Yee 500 x 160 mm</t>
  </si>
  <si>
    <t>20.28</t>
  </si>
  <si>
    <t>Silla Yee 500 x 200 mm</t>
  </si>
  <si>
    <t>20.29</t>
  </si>
  <si>
    <t>Acondicionador de Superficie</t>
  </si>
  <si>
    <t>20.30</t>
  </si>
  <si>
    <t>20.31</t>
  </si>
  <si>
    <t>Valor Suministros</t>
  </si>
  <si>
    <t>Codo Gran Radio Unión Platino 22 1/2° 2"</t>
  </si>
  <si>
    <t>Codo Gran Radio Unión Platino 22 1/2° 2 1/2"</t>
  </si>
  <si>
    <t>Codo Gran Radio Unión Platino 22 1/2° 3"</t>
  </si>
  <si>
    <t>Codo Gran Radio Unión Platino 22 1/2° 4"</t>
  </si>
  <si>
    <t>Codo Gran Radio Unión Platino 22 1/2° 6"</t>
  </si>
  <si>
    <t>Codo Gran Radio Unión Platino 22 1/2° 8"</t>
  </si>
  <si>
    <t>Codo Gran Radio Unión Platino 22 1/2° 10"</t>
  </si>
  <si>
    <t>Codo Gran Radio Unión Platino 22 1/2° 12"</t>
  </si>
  <si>
    <t>23.29</t>
  </si>
  <si>
    <t>23.30</t>
  </si>
  <si>
    <t>23.31</t>
  </si>
  <si>
    <t>23.32</t>
  </si>
  <si>
    <t>23.33</t>
  </si>
  <si>
    <t>23.34</t>
  </si>
  <si>
    <t>23.35</t>
  </si>
  <si>
    <t>23.36</t>
  </si>
  <si>
    <t>Codo Gran Radio Unión Platino 11 1/4° 2"</t>
  </si>
  <si>
    <t>Codo Gran Radio Unión Platino 11 1/4° 2 1/2"</t>
  </si>
  <si>
    <t>Codo Gran Radio Unión Platino 11 1/4° 3"</t>
  </si>
  <si>
    <t>Codo Gran Radio Unión Platino 11 1/4° 4"</t>
  </si>
  <si>
    <t>Codo Gran Radio Unión Platino 11 1/4° 6"</t>
  </si>
  <si>
    <t>Codo Gran Radio Unión Platino 11 1/4° 8"</t>
  </si>
  <si>
    <t>Codo Gran Radio Unión Platino 11 1/4° 10"</t>
  </si>
  <si>
    <t>Codo Gran Radio Unión Platino 11 1/4° 12"</t>
  </si>
  <si>
    <t>23.37</t>
  </si>
  <si>
    <t>23.38</t>
  </si>
  <si>
    <t>23.39</t>
  </si>
  <si>
    <t>23.40</t>
  </si>
  <si>
    <t>23.41</t>
  </si>
  <si>
    <t>23.42</t>
  </si>
  <si>
    <t>23.43</t>
  </si>
  <si>
    <t>23.44</t>
  </si>
  <si>
    <t>Codo Gran Radio Unión Platino 6° 8"</t>
  </si>
  <si>
    <t>Codo Gran Radio Unión Platino 6° 10"</t>
  </si>
  <si>
    <t>Codo Gran Radio Unión Platino 6° 12"</t>
  </si>
  <si>
    <t>23.45</t>
  </si>
  <si>
    <t>23.46</t>
  </si>
  <si>
    <t>23.47</t>
  </si>
  <si>
    <t>23.48</t>
  </si>
  <si>
    <t>Unión Rápida Unión Platino 2"</t>
  </si>
  <si>
    <t>Unión Rápida Unión Platino 2 1/2"</t>
  </si>
  <si>
    <t>Unión Rápida Unión Platino 3"</t>
  </si>
  <si>
    <t>Unión Rápida Unión Platino 4"</t>
  </si>
  <si>
    <t>Unión Rápida Unión Platino 6"</t>
  </si>
  <si>
    <t>Unión Rápida Unión Platino 8"</t>
  </si>
  <si>
    <t>Unión Rápida Unión Platino 10"</t>
  </si>
  <si>
    <t>Unión Rápida Unión Platino 12"</t>
  </si>
  <si>
    <t>23.49</t>
  </si>
  <si>
    <t>23.50</t>
  </si>
  <si>
    <t>23.51</t>
  </si>
  <si>
    <t>23.52</t>
  </si>
  <si>
    <t>23.53</t>
  </si>
  <si>
    <t>23.54</t>
  </si>
  <si>
    <t>23.55</t>
  </si>
  <si>
    <t>Unión de Reparación Unión Platino 2"</t>
  </si>
  <si>
    <t>Unión de Reparación Unión Platino 2 1/2"</t>
  </si>
  <si>
    <t>Unión de Reparación Unión Platino 3"</t>
  </si>
  <si>
    <t>Unión de Reparación Unión Platino 4"</t>
  </si>
  <si>
    <t>Unión de Reparación Unión Platino 6"</t>
  </si>
  <si>
    <t>Unión de Reparación Unión Platino 8"</t>
  </si>
  <si>
    <t>Unión de Reparación Unión Platino 10"</t>
  </si>
  <si>
    <t>Unión de Reparación Unión Platino 12"</t>
  </si>
  <si>
    <t>23.56</t>
  </si>
  <si>
    <t>23.57</t>
  </si>
  <si>
    <t>23.58</t>
  </si>
  <si>
    <t>23.59</t>
  </si>
  <si>
    <t>23.60</t>
  </si>
  <si>
    <t>23.61</t>
  </si>
  <si>
    <t>23.62</t>
  </si>
  <si>
    <t>23.63</t>
  </si>
  <si>
    <t>Collar de Derivación Unión Platino 2" x 1/2"</t>
  </si>
  <si>
    <t>Collar de Derivación Unión Platino 2" x 3/4"</t>
  </si>
  <si>
    <t>Collar de Derivación Unión Platino 2 1/2" x 1/2"</t>
  </si>
  <si>
    <t>Collar de Derivación Unión Platino 2 1/2" x 3/4"</t>
  </si>
  <si>
    <t>Collar de Derivación Unión Platino 3" x 1/2"</t>
  </si>
  <si>
    <t>Collar de Derivación Unión Platino 3" x 3/4"</t>
  </si>
  <si>
    <t>Collar de Derivación Unión Platino 4" x 1/2"</t>
  </si>
  <si>
    <t>Collar de Derivación Unión Platino 4" x 3/4"</t>
  </si>
  <si>
    <t>Collar de Derivación Unión Platino 6" x 1/2"</t>
  </si>
  <si>
    <t>Collar de Derivación Unión Platino 6" x 3/4"</t>
  </si>
  <si>
    <t>Collar de Derivación Unión Platino 8" x 1"</t>
  </si>
  <si>
    <t>23.65</t>
  </si>
  <si>
    <t>23.66</t>
  </si>
  <si>
    <t>23.67</t>
  </si>
  <si>
    <t>23.68</t>
  </si>
  <si>
    <t>23.69</t>
  </si>
  <si>
    <t>23.70</t>
  </si>
  <si>
    <t>23.71</t>
  </si>
  <si>
    <t>23.72</t>
  </si>
  <si>
    <t>23.73</t>
  </si>
  <si>
    <t>23.74</t>
  </si>
  <si>
    <t>Tee Unión Platino 1"</t>
  </si>
  <si>
    <t>Tee Unión Platino 1 1/2"</t>
  </si>
  <si>
    <t>Tee Unión Platino 2"</t>
  </si>
  <si>
    <t>Tee Unión Platino 2 1/2"</t>
  </si>
  <si>
    <t>Tee Unión Platino 3"</t>
  </si>
  <si>
    <t>Tee Unión Platino 4"</t>
  </si>
  <si>
    <t>Tee Unión Platino 6"</t>
  </si>
  <si>
    <t>Tee Unión Platino 8"</t>
  </si>
  <si>
    <t>23.75</t>
  </si>
  <si>
    <t>23.76</t>
  </si>
  <si>
    <t>23.77</t>
  </si>
  <si>
    <t>23.78</t>
  </si>
  <si>
    <t>23.79</t>
  </si>
  <si>
    <t>23.80</t>
  </si>
  <si>
    <t>23.81</t>
  </si>
  <si>
    <t>23.82</t>
  </si>
  <si>
    <t>Codo Unión Platino 90° 1 1/2"</t>
  </si>
  <si>
    <t>Codo Unión Platino 90° 2"</t>
  </si>
  <si>
    <t>Codo Unión Platino 90° 2 1/2"</t>
  </si>
  <si>
    <t>Codo Unión Platino 90° 3"</t>
  </si>
  <si>
    <t>Codo Unión Platino 90° 4"</t>
  </si>
  <si>
    <t>Codo Unión Platino 90° 6"</t>
  </si>
  <si>
    <t>Codo Unión Platino 90° 8"</t>
  </si>
  <si>
    <t>23.83</t>
  </si>
  <si>
    <t>23.84</t>
  </si>
  <si>
    <t>23.85</t>
  </si>
  <si>
    <t>23.86</t>
  </si>
  <si>
    <t>23.87</t>
  </si>
  <si>
    <t>23.88</t>
  </si>
  <si>
    <t>23.89</t>
  </si>
  <si>
    <t>Reducción Unión Platino 2" x 1 1/2"</t>
  </si>
  <si>
    <t>13.28</t>
  </si>
  <si>
    <t>Formaleta en madera para anclaje</t>
  </si>
  <si>
    <t>13.29</t>
  </si>
  <si>
    <t>Formaleta para instalación de Aro</t>
  </si>
  <si>
    <t>13.30</t>
  </si>
  <si>
    <t>Formaleta para construcción de elementos en concreto</t>
  </si>
  <si>
    <t>Cuadrilla de Construcción de Pavimentos Texturizados Premezc(Cuadrilla tipo 11)</t>
  </si>
  <si>
    <t>Cuadrilla de Construcción de Pavimentos por Franjas Premezcl(Cuadrilla tipo 12).</t>
  </si>
  <si>
    <t>Cuadrilla de Construcción de Pavimentos por Franjas P. Obra(Cuadrilla tipo 13).</t>
  </si>
  <si>
    <t>Escobas</t>
  </si>
  <si>
    <t>Maestro de Obra</t>
  </si>
  <si>
    <t>Costo total por día</t>
  </si>
  <si>
    <t>Factor Prestacional</t>
  </si>
  <si>
    <t>Cuadrilla Combinada 1 Oficial + 2 Ayudantes (Cuadrilla tipo 2)</t>
  </si>
  <si>
    <t>Cuadrilla Combinada 2 Oficial + 3 Ayudantes (Cuadrilla tipo 3)</t>
  </si>
  <si>
    <t>Ml</t>
  </si>
  <si>
    <t>Demoliciones</t>
  </si>
  <si>
    <t>Excavaciones</t>
  </si>
  <si>
    <t>Rellenos</t>
  </si>
  <si>
    <t>Concretos</t>
  </si>
  <si>
    <t>Retiro Sobrantes</t>
  </si>
  <si>
    <t>Chipre</t>
  </si>
  <si>
    <t>Delicias</t>
  </si>
  <si>
    <t>Cuadrilla Combinada 1 Oficial + 1 Ayudante (Cuadrilla tipo 1)</t>
  </si>
  <si>
    <t>Oficial calificado</t>
  </si>
  <si>
    <t>Ayudante</t>
  </si>
  <si>
    <t>Cuadrilla de Construcción de Pavimentos en Adoquines (Cuadrilla tipo 14).</t>
  </si>
  <si>
    <t>Cuadrilla de Construcción de Subdrenes, Subbases y Bases (Cuadrilla tipo 9).</t>
  </si>
  <si>
    <t>Cuadrilla de Construcción de Bases en Relleno Fluído (Cuadrilla tipo 10).</t>
  </si>
  <si>
    <t>Plástico para Cobertores</t>
  </si>
  <si>
    <t>Seguetas</t>
  </si>
  <si>
    <t>5.15</t>
  </si>
  <si>
    <t>5.16</t>
  </si>
  <si>
    <t>5.17</t>
  </si>
  <si>
    <t>5.18</t>
  </si>
  <si>
    <t>5.19</t>
  </si>
  <si>
    <t>5.20</t>
  </si>
  <si>
    <t>Concreto 1:3:6 para Solados de Limpieza</t>
  </si>
  <si>
    <t>5.21</t>
  </si>
  <si>
    <t>5.22</t>
  </si>
  <si>
    <t>5.23</t>
  </si>
  <si>
    <t>5.24</t>
  </si>
  <si>
    <t>5.25</t>
  </si>
  <si>
    <t>5.26</t>
  </si>
  <si>
    <t>5.27</t>
  </si>
  <si>
    <t>5.28</t>
  </si>
  <si>
    <t>5.29</t>
  </si>
  <si>
    <t>5.30</t>
  </si>
  <si>
    <t>5.31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</si>
  <si>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</si>
  <si>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</si>
  <si>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</si>
  <si>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</si>
  <si>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</si>
  <si>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</si>
  <si>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</si>
  <si>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</si>
  <si>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</si>
  <si>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</si>
  <si>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</si>
  <si>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7.1</t>
  </si>
  <si>
    <t>7.2</t>
  </si>
  <si>
    <t>7.3</t>
  </si>
  <si>
    <t>8.1</t>
  </si>
  <si>
    <t>8.2</t>
  </si>
  <si>
    <t>8.3</t>
  </si>
  <si>
    <t>8.4</t>
  </si>
  <si>
    <t>8.5</t>
  </si>
  <si>
    <t>8.6</t>
  </si>
  <si>
    <t>8.8</t>
  </si>
  <si>
    <t>8.9</t>
  </si>
  <si>
    <t>9.1</t>
  </si>
  <si>
    <t>9.2</t>
  </si>
  <si>
    <t>9.3</t>
  </si>
  <si>
    <t>9.4</t>
  </si>
  <si>
    <t>10.1</t>
  </si>
  <si>
    <t>10.2</t>
  </si>
  <si>
    <t>10.3</t>
  </si>
  <si>
    <t>10.4</t>
  </si>
  <si>
    <t>10.5</t>
  </si>
  <si>
    <t>10.6</t>
  </si>
  <si>
    <t>10.7</t>
  </si>
  <si>
    <t>10.8</t>
  </si>
  <si>
    <t>11.1</t>
  </si>
  <si>
    <t>11.2</t>
  </si>
  <si>
    <t>11.3</t>
  </si>
  <si>
    <t>11.4</t>
  </si>
  <si>
    <t>11.5</t>
  </si>
  <si>
    <t>11.6</t>
  </si>
  <si>
    <t>11.7</t>
  </si>
  <si>
    <t>11.8</t>
  </si>
  <si>
    <t>11.9</t>
  </si>
  <si>
    <t>11.10</t>
  </si>
  <si>
    <t>11.11</t>
  </si>
  <si>
    <t>11.12</t>
  </si>
  <si>
    <t>11.13</t>
  </si>
  <si>
    <t>11.14</t>
  </si>
  <si>
    <t>11.15</t>
  </si>
  <si>
    <t>11.16</t>
  </si>
  <si>
    <t>11.17</t>
  </si>
  <si>
    <t>11.18</t>
  </si>
  <si>
    <t>11.19</t>
  </si>
  <si>
    <t>11.20</t>
  </si>
  <si>
    <t>11.21</t>
  </si>
  <si>
    <t>11.22</t>
  </si>
  <si>
    <t>11.23</t>
  </si>
  <si>
    <t>12.1</t>
  </si>
  <si>
    <t>12.2</t>
  </si>
  <si>
    <t>12.3</t>
  </si>
  <si>
    <t>12.4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</si>
  <si>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</si>
  <si>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</si>
  <si>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</si>
  <si>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</si>
  <si>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</si>
  <si>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</si>
  <si>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</si>
  <si>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</si>
  <si>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</si>
  <si>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</si>
  <si>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13.11</t>
  </si>
  <si>
    <t>13.12</t>
  </si>
  <si>
    <t>13.13</t>
  </si>
  <si>
    <t>13.14</t>
  </si>
  <si>
    <t>13.15</t>
  </si>
  <si>
    <t>13.16</t>
  </si>
  <si>
    <t>13.17</t>
  </si>
  <si>
    <t>13.18</t>
  </si>
  <si>
    <t>13.19</t>
  </si>
  <si>
    <t>13.20</t>
  </si>
  <si>
    <t>13.21</t>
  </si>
  <si>
    <t>13.22</t>
  </si>
  <si>
    <t>13.23</t>
  </si>
  <si>
    <t>13.24</t>
  </si>
  <si>
    <t>13.25</t>
  </si>
  <si>
    <t>13.26</t>
  </si>
  <si>
    <t>14.1</t>
  </si>
  <si>
    <t>14.2</t>
  </si>
  <si>
    <t>11.27</t>
  </si>
  <si>
    <t>Alquiler Andamio</t>
  </si>
  <si>
    <t>PRELIMINARES</t>
  </si>
  <si>
    <t>Tubería PF + UAD 1/2"</t>
  </si>
  <si>
    <t>Tubería PF + UAD 3/4"</t>
  </si>
  <si>
    <t xml:space="preserve">Relleno Fluido 30 </t>
  </si>
  <si>
    <t>ASFALTOS</t>
  </si>
  <si>
    <t>Mezcla asfáltica tipo MDC-2</t>
  </si>
  <si>
    <t>Emulsión para imprimación</t>
  </si>
  <si>
    <t>Lt</t>
  </si>
  <si>
    <t>PREFABRICADOS</t>
  </si>
  <si>
    <t>Bordillo Prefabricado de 0.15 x 0.35 x 1.0 m.</t>
  </si>
  <si>
    <t>Adoquín rectangular naranja uso peatonal (E=6 cm)</t>
  </si>
  <si>
    <t>Adoquín rectangular naranja uso vehicular (E=8 cm)</t>
  </si>
  <si>
    <t>Cañuela desague bicapa roja de 0.8x0.5x0.15 m.</t>
  </si>
  <si>
    <t>Confinamiento bicapa rojo de 0.8x0.5x0.15 m.</t>
  </si>
  <si>
    <t>MATERIALES ALCANTARILLADO</t>
  </si>
  <si>
    <t>Aro-Tapa HD de 0.60 m-Sello Elástico-Llave-Anti ruido</t>
  </si>
  <si>
    <t>Aro-Tapa HF de 0.60 m x 100 Kg</t>
  </si>
  <si>
    <t>Soldadura 60-13</t>
  </si>
  <si>
    <t>Formaleta metálica para Cámara Circular</t>
  </si>
  <si>
    <t>Marco-Reja en Varilla redonda corrugada de 1" y Platina</t>
  </si>
  <si>
    <t>Tubería Concreto de 6" U.C. Clase II</t>
  </si>
  <si>
    <t>Tubería Concreto de 10" U.C. Clase II</t>
  </si>
  <si>
    <t>Tubería Concreto de 12" U.C. Clase II</t>
  </si>
  <si>
    <t>Tubería Concreto de 15" U.C. Clase II</t>
  </si>
  <si>
    <t>Tubería Concreto de 18" U.C. Clase II</t>
  </si>
  <si>
    <t>Tubería Concreto de 21" U.C. Clase II</t>
  </si>
  <si>
    <t>Tubería Concreto de 24" U.C. Clase II</t>
  </si>
  <si>
    <t>TUBERIA CONCRETO REFORZADO</t>
  </si>
  <si>
    <t>Tubería Concreto de 30" U.C. Clase II</t>
  </si>
  <si>
    <t>Tubería Concreto de 36" U.C. Clase II</t>
  </si>
  <si>
    <t>TUBERIA Y ACCESORIOS PRESIÓN</t>
  </si>
  <si>
    <t>Tubería Presión RDE 21  200 PSI de 1"</t>
  </si>
  <si>
    <t>Tubería Presión RDE 21  200 PSI de 2"</t>
  </si>
  <si>
    <t>Registro incorporación Acero Inoxidable</t>
  </si>
  <si>
    <t>Registro de Corte (Incorporación) de 3/4" para Acueducto</t>
  </si>
  <si>
    <t>Registro de Corte (Incorporación) de 1/2" para Acueducto</t>
  </si>
  <si>
    <t>Registro de Corte (Incorporación) de 2" para Acueducto</t>
  </si>
  <si>
    <t>Registro o Llave de Paso tipo Red White de 2" Acueducto</t>
  </si>
  <si>
    <t>Registro o Llave de Paso tipo Red White de 3" Acueducto</t>
  </si>
  <si>
    <t>ELEMENTOS ACUEDUCTO</t>
  </si>
  <si>
    <t>25.1</t>
  </si>
  <si>
    <t>Limpiador Removedor 1/4 760gr</t>
  </si>
  <si>
    <t>25.2</t>
  </si>
  <si>
    <t>Soldadura Líquida  1/4 Gal.</t>
  </si>
  <si>
    <t>25.3</t>
  </si>
  <si>
    <t>25.4</t>
  </si>
  <si>
    <t>25.5</t>
  </si>
  <si>
    <t>25.6</t>
  </si>
  <si>
    <t>25.7</t>
  </si>
  <si>
    <t>25.8</t>
  </si>
  <si>
    <t>25.9</t>
  </si>
  <si>
    <t>25.10</t>
  </si>
  <si>
    <t>25.11</t>
  </si>
  <si>
    <t>25.12</t>
  </si>
  <si>
    <t>25.13</t>
  </si>
  <si>
    <t>25.14</t>
  </si>
  <si>
    <t>25.15</t>
  </si>
  <si>
    <t>25.16</t>
  </si>
  <si>
    <t>25.17</t>
  </si>
  <si>
    <t>25.18</t>
  </si>
  <si>
    <t>25.19</t>
  </si>
  <si>
    <t>25.20</t>
  </si>
  <si>
    <t>25.21</t>
  </si>
  <si>
    <t>25.22</t>
  </si>
  <si>
    <t>25.23</t>
  </si>
  <si>
    <t>25.24</t>
  </si>
  <si>
    <t>25.25</t>
  </si>
  <si>
    <t>25.26</t>
  </si>
  <si>
    <t>25.27</t>
  </si>
  <si>
    <t>25.28</t>
  </si>
  <si>
    <t>26.1</t>
  </si>
  <si>
    <t>26.2</t>
  </si>
  <si>
    <t>26.3</t>
  </si>
  <si>
    <t>26.4</t>
  </si>
  <si>
    <t>26.5</t>
  </si>
  <si>
    <t>26.6</t>
  </si>
  <si>
    <t>27.1</t>
  </si>
  <si>
    <t>27.2</t>
  </si>
  <si>
    <t>27.3</t>
  </si>
  <si>
    <t>27.4</t>
  </si>
  <si>
    <t>27.5</t>
  </si>
  <si>
    <t>27.6</t>
  </si>
  <si>
    <t>27.7</t>
  </si>
  <si>
    <t>27.8</t>
  </si>
  <si>
    <t>27.9</t>
  </si>
  <si>
    <t>27.10</t>
  </si>
  <si>
    <t>27.11</t>
  </si>
  <si>
    <t>27.12</t>
  </si>
  <si>
    <t>27.13</t>
  </si>
  <si>
    <t>27.14</t>
  </si>
  <si>
    <t>27.15</t>
  </si>
  <si>
    <t>27.16</t>
  </si>
  <si>
    <t>27.17</t>
  </si>
  <si>
    <t>27.18</t>
  </si>
  <si>
    <t>27.19</t>
  </si>
  <si>
    <t>27.20</t>
  </si>
  <si>
    <t>27.21</t>
  </si>
  <si>
    <t>27.22</t>
  </si>
  <si>
    <t>27.23</t>
  </si>
  <si>
    <t>27.24</t>
  </si>
  <si>
    <t>27.25</t>
  </si>
  <si>
    <t>27.26</t>
  </si>
  <si>
    <t>28.1</t>
  </si>
  <si>
    <t>28.2</t>
  </si>
  <si>
    <t>28.3</t>
  </si>
  <si>
    <t>28.4</t>
  </si>
  <si>
    <t>28.5</t>
  </si>
  <si>
    <t>28.6</t>
  </si>
  <si>
    <t>28.7</t>
  </si>
  <si>
    <t>28.8</t>
  </si>
  <si>
    <t>28.9</t>
  </si>
  <si>
    <t>28.10</t>
  </si>
  <si>
    <t>28.11</t>
  </si>
  <si>
    <t>28.12</t>
  </si>
  <si>
    <t>28.13</t>
  </si>
  <si>
    <t>28.14</t>
  </si>
  <si>
    <t>28.15</t>
  </si>
  <si>
    <t>28.16</t>
  </si>
  <si>
    <t>28.17</t>
  </si>
  <si>
    <t>28.18</t>
  </si>
  <si>
    <t>28.19</t>
  </si>
  <si>
    <t>28.20</t>
  </si>
  <si>
    <t>28.21</t>
  </si>
  <si>
    <t>28.22</t>
  </si>
  <si>
    <t>28.23</t>
  </si>
  <si>
    <t>28.24</t>
  </si>
  <si>
    <t>28.25</t>
  </si>
  <si>
    <t>28.26</t>
  </si>
  <si>
    <t>ITEM No.</t>
  </si>
  <si>
    <t>Concepto</t>
  </si>
  <si>
    <t>Valla Informativa General del Proyecto</t>
  </si>
  <si>
    <t>Código</t>
  </si>
  <si>
    <t>Costo. Unitario</t>
  </si>
  <si>
    <t>H y E</t>
  </si>
  <si>
    <t>Materiales</t>
  </si>
  <si>
    <t>Mano de Obra</t>
  </si>
  <si>
    <t>Otros</t>
  </si>
  <si>
    <t>3.10</t>
  </si>
  <si>
    <t>Herramienta Menor General</t>
  </si>
  <si>
    <t>2.9</t>
  </si>
  <si>
    <t>Materiales Varios</t>
  </si>
  <si>
    <t>Gr</t>
  </si>
  <si>
    <t>Costo Directo</t>
  </si>
  <si>
    <t>13.31</t>
  </si>
  <si>
    <t>Cespedón tipo Kicuyo de 0.3x0.3 p/Empradizado</t>
  </si>
  <si>
    <t>DESCRIPCIÓN</t>
  </si>
  <si>
    <t>CANTIDAD</t>
  </si>
  <si>
    <t>VR.UNITARIO</t>
  </si>
  <si>
    <t>VR.TOTAL</t>
  </si>
  <si>
    <t>11.35</t>
  </si>
  <si>
    <t>Barreno</t>
  </si>
  <si>
    <t>Tubo de Polietileno PE 100 A.D. PN 10 de 90 m.m. (3,5")</t>
  </si>
  <si>
    <t>Tubo de Polietileno PE 100 A.D. PN 12,5 de 90 m.m. (3,5")</t>
  </si>
  <si>
    <t>Tubo de Polietileno PE 100 A.D. PN 16 de 90 m.m. (3,5")</t>
  </si>
  <si>
    <t>Tubo de Polietileno PE 100 A.D. PN 10 de 75 m.m. (3")</t>
  </si>
  <si>
    <t>Tubo de Polietileno PE 100 A.D. PN 12,5 de 75 m.m. (3")</t>
  </si>
  <si>
    <t>Tubo de Polietileno PE 100 A.D. PN 16 de 75 m.m. (3")</t>
  </si>
  <si>
    <t>Tubo de Polietileno PE 100 A.D. PN 10 de 63 m.m. (2.5")</t>
  </si>
  <si>
    <t>Tubo de Polietileno PE 100 A.D. PN 12,5 de 63 m.m. (2.5")</t>
  </si>
  <si>
    <t>Tubo de Polietileno PE 100 A.D. PN 16 de 63 m.m. (2.5")</t>
  </si>
  <si>
    <t>Tubo de Polietileno PE 100 A.D. PN 10 de 50 m.m. (2")</t>
  </si>
  <si>
    <t>Tubo de Polietileno PE 100 A.D. PN 16 de 50 m.m. (2")</t>
  </si>
  <si>
    <t>Tubo de Polietileno PE 40 B.D. PN 10 de 32 m.m. (1")</t>
  </si>
  <si>
    <t>Tubo de Polietileno PE 80  A.D. PN 16 de 20 m.m para acometida</t>
  </si>
  <si>
    <t>Tubo de Polietileno   PE 80 A.D PN12,5 RDE 11  de 32 m.m</t>
  </si>
  <si>
    <t>TUBERIA GRP</t>
  </si>
  <si>
    <t>Tuberia GRP DN 800 FL SN 5000</t>
  </si>
  <si>
    <t>Tubería GRP DN 500 PN10 SN 2500</t>
  </si>
  <si>
    <t>Tubería GRP DN 700 PN10 SN 2500</t>
  </si>
  <si>
    <t>Tubería GRP DN 750 PN10 SN 5000</t>
  </si>
  <si>
    <t>Tubería GRP DN 700 PN10 SN 5000</t>
  </si>
  <si>
    <t>Acople GRP DN500 PN10</t>
  </si>
  <si>
    <t>Acople GRP DN700 PN10</t>
  </si>
  <si>
    <t>Acople GRP DN750 PN10</t>
  </si>
  <si>
    <t>Codo GRP DN500 PN10 SN2500 (0-30°)</t>
  </si>
  <si>
    <t>Codo GRP DN500 PN10 SN2500 (31-60°)</t>
  </si>
  <si>
    <t>Codo GRP DN700 PN10 SN2500 (0-30°)</t>
  </si>
  <si>
    <t>Codo GRP DN700 PN10 SN2500 (31-60°)</t>
  </si>
  <si>
    <t>Codo GRP DN700 PN10 SN5000 (31-60°)</t>
  </si>
  <si>
    <t>Codo GRP DN700 PN10 SN5000 (61-90°)</t>
  </si>
  <si>
    <t>Codo GRP DN750 PN10 SN5000 (31-60°)</t>
  </si>
  <si>
    <t>Tee GRP DN 700 X DN 700 SN 5000</t>
  </si>
  <si>
    <t>Tee GRP DN 750 X DN 750 SN 5000</t>
  </si>
  <si>
    <t>Reducción GRP DN 700 X DN 600</t>
  </si>
  <si>
    <t>Reducción GRP DN 750 X DN 750</t>
  </si>
  <si>
    <t>Niple Bridado GRP DN 700</t>
  </si>
  <si>
    <t>Niple Bridado GRP DN 750</t>
  </si>
  <si>
    <t>Niple Bridado GRP DN 600</t>
  </si>
  <si>
    <t>Linner de alta presión</t>
  </si>
  <si>
    <t>Linner de baja fricción</t>
  </si>
  <si>
    <t>Lubricante</t>
  </si>
  <si>
    <t>MANO DE OBRA</t>
  </si>
  <si>
    <t>Cuadrilla tipo I (1of + 1ay)</t>
  </si>
  <si>
    <t>Hr</t>
  </si>
  <si>
    <t>Cuadrilla tipo II (1of + 2ay)</t>
  </si>
  <si>
    <t>Cuadrilla tipo III (2of + 3ay)</t>
  </si>
  <si>
    <t>Cuadrilla tipo IV (4ay) - Cargue/Evacuación escombros</t>
  </si>
  <si>
    <t>Cuadrilla tipo V (3ay) - Manejo/Movilización</t>
  </si>
  <si>
    <t>Cuadrilla tipo VI (6ay) - Excavación y transporte interno</t>
  </si>
  <si>
    <t>Cuadrilla tipo VII - Producción e Instalación Concreto</t>
  </si>
  <si>
    <t>Cuadrilla tipo VIII - Instalación Tubería y Accesorios de Acueducto</t>
  </si>
  <si>
    <t>Cuadrilla tipo IX - Construcción Subdrenes, Sub-bases y Bases</t>
  </si>
  <si>
    <t>Cuadrilla tipo X - Construcción Bases en Relleno Fluido</t>
  </si>
  <si>
    <t>Cuadrilla tipo XI - Construcción Pavimentos Texturizados con Premezclado</t>
  </si>
  <si>
    <t>Cuadrilla tipo XII - Construcción Pavimentos en Franjas con Premezclado</t>
  </si>
  <si>
    <t>Cuadrilla tipo XIII - Construcción de Pavimentos por franjas producido en obra</t>
  </si>
  <si>
    <t>Cuadrilla tipo XIV - Construcción Pavimentos en adoquines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</si>
  <si>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</si>
  <si>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</si>
  <si>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</si>
  <si>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</si>
  <si>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</si>
  <si>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</si>
  <si>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</si>
  <si>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</si>
  <si>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</si>
  <si>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</si>
  <si>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</si>
  <si>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</si>
  <si>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</si>
  <si>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</si>
  <si>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2.1</t>
  </si>
  <si>
    <t>2.2</t>
  </si>
  <si>
    <t>2.3</t>
  </si>
  <si>
    <t>2.4</t>
  </si>
  <si>
    <t>2.5</t>
  </si>
  <si>
    <t>2.6</t>
  </si>
  <si>
    <t>2.7</t>
  </si>
  <si>
    <t>2.8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</si>
  <si>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</si>
  <si>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</si>
  <si>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</si>
  <si>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</si>
  <si>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</si>
  <si>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</si>
  <si>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</si>
  <si>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</si>
  <si>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</si>
  <si>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4.1</t>
  </si>
  <si>
    <t>4.2</t>
  </si>
  <si>
    <t>4.3</t>
  </si>
  <si>
    <t>4.5</t>
  </si>
  <si>
    <t>4.4</t>
  </si>
  <si>
    <t>4.6</t>
  </si>
  <si>
    <t>4.7</t>
  </si>
  <si>
    <t>4.8</t>
  </si>
  <si>
    <t>4.9</t>
  </si>
  <si>
    <t>4.10</t>
  </si>
  <si>
    <t>4.11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</si>
  <si>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</si>
  <si>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</si>
  <si>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</si>
  <si>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</si>
  <si>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</si>
  <si>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</si>
  <si>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</si>
  <si>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</si>
  <si>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</si>
  <si>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</si>
  <si>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</si>
  <si>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</si>
  <si>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</si>
  <si>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</si>
  <si>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11.31</t>
  </si>
  <si>
    <t>Finisher</t>
  </si>
  <si>
    <t>Dìa</t>
  </si>
  <si>
    <t>11.32</t>
  </si>
  <si>
    <t>Vibrocompactador</t>
  </si>
  <si>
    <t>11.33</t>
  </si>
  <si>
    <t>Irrigador</t>
  </si>
  <si>
    <t>11.34</t>
  </si>
  <si>
    <t>Hidrolavadora</t>
  </si>
  <si>
    <t>7.4</t>
  </si>
  <si>
    <t>Trilla de Respaldo para sellado de juntas de pavimento</t>
  </si>
  <si>
    <t>7.5</t>
  </si>
  <si>
    <t>Compuesto elastomèrico para sellado de juntas de pavimento</t>
  </si>
  <si>
    <t>Buje Roscado Presión 1 1/4" x 3/4"</t>
  </si>
  <si>
    <t>Buje Roscado Presión 1 1/4" x 1"</t>
  </si>
  <si>
    <t>Alquiler Formaletas para Cilindros de Concreto</t>
  </si>
  <si>
    <t>Día - Unidad</t>
  </si>
  <si>
    <t>Equipo para el Bombeo del Concreto Premezclado</t>
  </si>
  <si>
    <t>Compresor 1 Martillo</t>
  </si>
  <si>
    <t>Retroexcavadora con Equipo Demolición</t>
  </si>
  <si>
    <t>Retroexcavadora de Oruga tipo Caterpillar E200</t>
  </si>
  <si>
    <t>Retrocargadora de Llantas</t>
  </si>
  <si>
    <t>Bulldozer D6 C</t>
  </si>
  <si>
    <t>Motobomba de 2" a Gasolina</t>
  </si>
  <si>
    <t>Herramienta para Movilización de Tubería</t>
  </si>
  <si>
    <t>Equipos-Herramientas para Prueba Hidrostática 3" a 6"</t>
  </si>
  <si>
    <t>Equipos-Herramientas para Prueba Hidrostática 8" a 10"</t>
  </si>
  <si>
    <t xml:space="preserve">ALQUILER VEHÍCULOS </t>
  </si>
  <si>
    <t>Camioneta hasta 1.5 Toneladas</t>
  </si>
  <si>
    <t>Camioneta hasta 3.0 Toneladas</t>
  </si>
  <si>
    <t>Volqueta hasta 12 .0 Toneladas</t>
  </si>
  <si>
    <t>Transporte en Camión Pereira - Manizales</t>
  </si>
  <si>
    <t>Viajex10 Ton</t>
  </si>
  <si>
    <t>MADERAS Y VARIOS</t>
  </si>
  <si>
    <t xml:space="preserve">Plástico Transparente Calibre 6 </t>
  </si>
  <si>
    <t>Tabla para Formaleta 0.22x3.00 Mt.</t>
  </si>
  <si>
    <t>Telera de 0,05 x 0,22 x 2,90</t>
  </si>
  <si>
    <t>Cuartón de Sajo 0.04 x 0.08 x 2,80 Mt</t>
  </si>
  <si>
    <t>Listón de Sajo 0,04 x 0,04 x 2,80 Mt.</t>
  </si>
  <si>
    <t>Varillón de Sajo 0,025 x 0,04 x 2,80 Mt.</t>
  </si>
  <si>
    <t>Guadua Cepa de 5 Varas</t>
  </si>
  <si>
    <t>Sobrebasa de Guadua 4 Varas</t>
  </si>
  <si>
    <t>Esterilla de Guadua</t>
  </si>
  <si>
    <t>Lata de Guadua</t>
  </si>
  <si>
    <t>Segueta para corte</t>
  </si>
  <si>
    <t xml:space="preserve">Escoba </t>
  </si>
  <si>
    <t>Cespedón de 0.30 x 0.30 m. Suministrado en Obra</t>
  </si>
  <si>
    <t>Puntilla de 1.5" a 3.5"</t>
  </si>
  <si>
    <t>Lb</t>
  </si>
  <si>
    <t>Buje Soldado Presión 3/4" x 1/2"</t>
  </si>
  <si>
    <t>Buje Soldado Presión 1" x 1/2"</t>
  </si>
  <si>
    <t>Buje Soldado Presión 1" x 3/4"</t>
  </si>
  <si>
    <t>Buje Soldado Presión 1 1/4" x 1/2"</t>
  </si>
  <si>
    <t>Buje Soldado Presión 1 1/4" x 1"</t>
  </si>
  <si>
    <t>Buje Soldado Presión 1 1/2" x 1/2"</t>
  </si>
  <si>
    <t>Buje Soldado Presión 1 1/2" x 3/4"</t>
  </si>
  <si>
    <t>Buje Soldado Presión 1 1/2" x 1"</t>
  </si>
  <si>
    <t>Buje Soldado Presión 1 1/2" x 1 1/4"</t>
  </si>
  <si>
    <t>Buje Soldado Presión 2" x 1/2"</t>
  </si>
  <si>
    <t>Buje Soldado Presión 2" x 3/4"</t>
  </si>
  <si>
    <t>Buje Soldado Presión 2" x 1"</t>
  </si>
  <si>
    <t>Buje Soldado Presión 2" x 1 1/4"</t>
  </si>
  <si>
    <t>Buje Soldado Presión 2" x 1 1/2"</t>
  </si>
  <si>
    <t>Buje Soldado Presión 2 1/2" x 1 1/2"</t>
  </si>
  <si>
    <t>Buje Soldado Presión 2 1/2" x 2"</t>
  </si>
  <si>
    <t>Buje Soldado Presión 3" x 2"</t>
  </si>
  <si>
    <t>Buje Soldado Presión 3" x 2 1/2"</t>
  </si>
  <si>
    <t>Buje Soldado Presión 4" x 2"</t>
  </si>
  <si>
    <t>Buje Soldado Presión 4" x 2 1/2"</t>
  </si>
  <si>
    <t>Buje Soldado Presión 4" x 3"</t>
  </si>
  <si>
    <t>Buje Soldado Presión 1 1/4" x 3/4"</t>
  </si>
  <si>
    <t>22.82</t>
  </si>
  <si>
    <t>22.83</t>
  </si>
  <si>
    <t>22.84</t>
  </si>
  <si>
    <t>22.85</t>
  </si>
  <si>
    <t>22.86</t>
  </si>
  <si>
    <t>Tapón Roscado Presión 1/2"</t>
  </si>
  <si>
    <t>Tapón Roscado Presión 3/4"</t>
  </si>
  <si>
    <t>Tapón Roscado Presión 1"</t>
  </si>
  <si>
    <t>Tapón Roscado Presión 1 1/4"</t>
  </si>
  <si>
    <t>Tapón Roscado Presión 1 1/2"</t>
  </si>
  <si>
    <t>Tapón Roscado Presión 2"</t>
  </si>
  <si>
    <t>Tapón Roscado Presión 2 1/2"</t>
  </si>
  <si>
    <t>Tapón Roscado Presión 3"</t>
  </si>
  <si>
    <t>Tapón Roscado Presión 4"</t>
  </si>
  <si>
    <t>22.104</t>
  </si>
  <si>
    <t>22.105</t>
  </si>
  <si>
    <t>22.106</t>
  </si>
  <si>
    <t>22.107</t>
  </si>
  <si>
    <t>22.108</t>
  </si>
  <si>
    <t>22.109</t>
  </si>
  <si>
    <t>22.110</t>
  </si>
  <si>
    <t>22.111</t>
  </si>
  <si>
    <t>22.112</t>
  </si>
  <si>
    <t>Buje Roscado Presión 1/2" x 3/8"</t>
  </si>
  <si>
    <t>Buje Roscado Presión 3/4" x 1/2"</t>
  </si>
  <si>
    <t>Buje Roscado Presión 1" x 1/2"</t>
  </si>
  <si>
    <t>Buje Roscado Presión 1" x 3/4"</t>
  </si>
  <si>
    <t>RELLENOS</t>
  </si>
  <si>
    <t>8.1.1</t>
  </si>
  <si>
    <t>8.1.2</t>
  </si>
  <si>
    <t>Tee Reducida HD B.B  75 mm x 50 mm (3" x 2")</t>
  </si>
  <si>
    <t>Tee Reducida HD B.B  100 mm x 50 mm (4" x 2")</t>
  </si>
  <si>
    <t>Tee Reducida HD B.B  100 mm x 75 mm (4" x 3")</t>
  </si>
  <si>
    <t>Tee reducida HD B.B.  150 x50 mm (6" x 2")</t>
  </si>
  <si>
    <t>Tee reducida HD B.B.  150 x75 mm (6" x 3")</t>
  </si>
  <si>
    <t>Tee reducida HD B.B.  150x100 mm (6" x 4")</t>
  </si>
  <si>
    <t>Tee reducida HD B.B.  150x 75 mm (8" x 3")</t>
  </si>
  <si>
    <t>Tee reducida HD B.B.  150x100 mm (8" x 4")</t>
  </si>
  <si>
    <t>Tee reducida HD B.B.  250mm x 75 mm (10" x 3")</t>
  </si>
  <si>
    <t>Tee reducida HD B.B.  250mm x 100mm (10" x 4")</t>
  </si>
  <si>
    <t>Tee reducida HD B.B.  300mm x 75mm (12" x 3")</t>
  </si>
  <si>
    <t>Tee reducida HD B.B.  300mm x 100mm (12" x 4")</t>
  </si>
  <si>
    <t>Tee reducida HD B.B.  300mm x  300mm (12" x 2")</t>
  </si>
  <si>
    <t>Tee reducida HD E.L.  250mm x 150mm (10" x 6")</t>
  </si>
  <si>
    <t>Tee HD B.B.  150x150 mm (6" x 6")</t>
  </si>
  <si>
    <t>Tee HD B.B.  200x200 mm (8" x 8")</t>
  </si>
  <si>
    <t>Tee HD B.B.  300x300 mm (12" x 12")</t>
  </si>
  <si>
    <t>Tee HD B.B.  250x250 mm (10" x 10")</t>
  </si>
  <si>
    <t>Tee HD B.B.  400x400 mm (16" x 16")</t>
  </si>
  <si>
    <t>Tee HD 2" (50 mm x 50 mm) Extremo Liso</t>
  </si>
  <si>
    <t>Tee HD 4" x 2" (150 mm x 75 mm) Extremo liso</t>
  </si>
  <si>
    <t>Tee HD 6" x 3" (150 mm x 75 mm) Extremo liso</t>
  </si>
  <si>
    <t>Tee HD 6" x 4" (150 mm x 100 mm) Extremo liso</t>
  </si>
  <si>
    <t>Tee HD 6" x 6" (150 mm x 150 mm) Extremo liso</t>
  </si>
  <si>
    <t>Tee HD 8" x 3" (200 mm x 75 mm) Extremo liso</t>
  </si>
  <si>
    <t>Tee HD 8" x 4" (200 mm x 100 mm) Extremo liso</t>
  </si>
  <si>
    <t>Tee HD 8" x 6" (200 mm x 150 mm) Extremo liso</t>
  </si>
  <si>
    <t>Tee HD 8" x 8 "(200 mm x 200 mm) Extremo liso</t>
  </si>
  <si>
    <t>Tee HD 10" x 3" (250 mm x 75 mm) Extremo liso</t>
  </si>
  <si>
    <t>Tee HD 10" x 4" (250 mm x 100 mm) Extremo liso</t>
  </si>
  <si>
    <t>Tee HD 10" x 6" (250 mm x 150 mm) Extremo liso</t>
  </si>
  <si>
    <t>Tee HD 10" x 10" (250 mm x 250 mm) Extremo liso</t>
  </si>
  <si>
    <t>Tee HD 12" x 3" (300 mm x 75 mm) Extremo liso</t>
  </si>
  <si>
    <t>Tee HD 12" x 6" (300 mm x 150 mm) Extremo liso</t>
  </si>
  <si>
    <t>Tee HD 12" x 10" (300 mm x 250 mm) Extremo liso</t>
  </si>
  <si>
    <t>Tee HD 12" x 8" (300 mm x 250 mm) Extremo liso</t>
  </si>
  <si>
    <t>Tee HD 14" x 3" (350 mm x 75 mm) Extremo liso</t>
  </si>
  <si>
    <t>Tee HD 18" x 6" (450 mm x 150 mm) Extremo liso</t>
  </si>
  <si>
    <t>Tee HD 14" x 4" (350 mm x 75 mm) Extremo liso</t>
  </si>
  <si>
    <t>TEE</t>
  </si>
  <si>
    <t>Cruz HD 3"x3" (75 mm x 75 mm) Extremo Liso</t>
  </si>
  <si>
    <t>Cruz HD 4" x 3" (100 mm x 75 mm) Extremo liso</t>
  </si>
  <si>
    <t>Cruz HD 4" x 4" (100 mm x 100 mm) Extremo liso</t>
  </si>
  <si>
    <t>Cruz HD 6" x 3" (150 mm x 75 mm) Extremo liso</t>
  </si>
  <si>
    <t>Cruz HD 6" x 4" (150 mm x 100 mm) Extremo liso</t>
  </si>
  <si>
    <t>Cruz HD 6" x 6" (150 mm x 150 mm) Extremo liso</t>
  </si>
  <si>
    <t>Cruz HD 8" x 3" (200 mm x 75 mm) Extremo liso</t>
  </si>
  <si>
    <t>Cruz HD 8" x 6" (200 mm x 150 mm) Extremo liso</t>
  </si>
  <si>
    <t>Cruz HD 8" x 8" (200 mm x 200 mm) Extremo liso</t>
  </si>
  <si>
    <t>Cruz HD 10" x 3" (250 mm x 75 mm) Extremo liso</t>
  </si>
  <si>
    <t>Cruz HD 12" x 10" (250 mm x 75 mm) Extremo liso</t>
  </si>
  <si>
    <t>Cruz HD 10" x 4" (250 mm x 75 mm) Extremo liso</t>
  </si>
  <si>
    <t>Cruz HD 10" x 8" (250 mm x 200 mm) Extremo liso</t>
  </si>
  <si>
    <t>Cruz HD 12" x 3" (300 mm x 75 mm) Extremo liso</t>
  </si>
  <si>
    <t>Cruz HD 2"x2" (50 mm x 50 mm) JH</t>
  </si>
  <si>
    <t>Cruz HD 3"x2" (75 mm x 50 mm) JH</t>
  </si>
  <si>
    <t>Cruz HD 3" x 3" (75 mm x 75 mm) JH</t>
  </si>
  <si>
    <t>Cruz HD 4" x 2" (100 mm x 50 mm) JH</t>
  </si>
  <si>
    <t>Cruz HD 4" x 3" (100 mm x 75 mm) JH</t>
  </si>
  <si>
    <t>Cruz HD 4" x 4" (100 mm x 100 mm) JH</t>
  </si>
  <si>
    <t>Cruz HD 6" x 2" (150 mm x 50 mm) JH</t>
  </si>
  <si>
    <t>Cruz HD 6" x 3" (150 mm x 75 mm) JH</t>
  </si>
  <si>
    <t>Cruz HD 6" x 4" (150 mm x 100 mm) JH</t>
  </si>
  <si>
    <t>Cruz HD 6" x 6" (150 mm x 150 mm) JH</t>
  </si>
  <si>
    <t>Cruz HD 8" x 3" (200 mm x 75 mm) JH</t>
  </si>
  <si>
    <t>Cruz HD 8" x 4" (200 mm x 100 mm) JH</t>
  </si>
  <si>
    <t>Cruz HD 8" x 6" (200 mm x 150 mm) JH</t>
  </si>
  <si>
    <t>Cruz HD 8" x 8" (200 mm x 200 mm) JH</t>
  </si>
  <si>
    <t>Cruz HD 10" x 3" (250 mm x 75 mm) JH</t>
  </si>
  <si>
    <t>Cruz HD 10" x 4" (250 mm x 100 mm) JH</t>
  </si>
  <si>
    <t>Cruz HD 10" x 6" (250 mm x 150 mm) JH</t>
  </si>
  <si>
    <t>Cruz HD 10" x 8" (250 mm x 200 mm) JH</t>
  </si>
  <si>
    <t>Cruz HD 10" x 10" (250 mm x 250 mm) JH</t>
  </si>
  <si>
    <t>Cruz HD 12" x 3" (300 mm x 75 mm) JH</t>
  </si>
  <si>
    <t>Cruz HD 12" x 4" (300 mm x 120 mm) JH</t>
  </si>
  <si>
    <t>Cruz HD 12" x 6" (300 mm x 150 mm) JH</t>
  </si>
  <si>
    <t>Cruz HD 12" x 8" (300 mm x 200 mm) JH</t>
  </si>
  <si>
    <t>Cruz HD 12" x 10" (300 mm x 250 mm) JH</t>
  </si>
  <si>
    <t>Cruz HD 12" x 12" (300 mm x 300 mm) JH</t>
  </si>
  <si>
    <t>Tee HD  Junta Hidráulica 2" x 2" (50 mm x 50 mm)</t>
  </si>
  <si>
    <t>Tee HD  Junta Hidráulica 3" x 2" (75 mm x 50 mm)</t>
  </si>
  <si>
    <t>Tee HD  Junta Hidráulica 3" x 3" (75 mm x 75 mm)</t>
  </si>
  <si>
    <t>Tee HD  Junta Hidráulica 4" x 2" (100 mm x 50 mm)</t>
  </si>
  <si>
    <t>Tee HD  Junta Hidráulica 4" x 3" (100 mm x 75 mm)</t>
  </si>
  <si>
    <t>Tee HD  Junta Hidráulica 4" x 4" (100 mm x 100 mm)</t>
  </si>
  <si>
    <t>Tee HD  Junta Hidráulica 6" x 2" (150 mm x 50 mm)</t>
  </si>
  <si>
    <t>Tee HD  Junta Hidráulica 6" x 3" (150 mm x 75 mm)</t>
  </si>
  <si>
    <t>Tee HD Junta Hidráulica 6"x4" (150 mm x 100 mm)</t>
  </si>
  <si>
    <t>Tee HD Junta Hidráulica 6"x6" (150 mm x 150 mm)</t>
  </si>
  <si>
    <t>Tee HD Junta Hidráulica 8"x3" (200 mm x 75 mm)</t>
  </si>
  <si>
    <t>Tee HD Junta Hidráulica 8"x4" (200 mm x 100 mm)</t>
  </si>
  <si>
    <t>Tee HD Junta Hidráulica 8"x6" (200 mm x 150 mm)</t>
  </si>
  <si>
    <t>Tee HD Junta Hidráulica 8"x8" (200 mm x 200 mm)</t>
  </si>
  <si>
    <t>Tee HD Junta Hidráulica 10"x3" (250 mm x 75 mm)</t>
  </si>
  <si>
    <t>Tee HD Junta Hidráulica 10"x4" (250 mm x 100 mm)</t>
  </si>
  <si>
    <t>Tee HD Junta Hidráulica 10"x6" (250 mm x 150 mm)</t>
  </si>
  <si>
    <t>Tee HD Junta Hidráulica 10"x8" (250 mm x 200 mm)</t>
  </si>
  <si>
    <t>Tee HD Junta Hidráulica 10"x10" (250 mm x 250 mm)</t>
  </si>
  <si>
    <t>Tee HD Junta Hidráulica 12"x3" (300 mm x 75 mm)</t>
  </si>
  <si>
    <t>Tee HD Junta Hidráulica 12"x4" (300 mm x 100 mm)</t>
  </si>
  <si>
    <t>Tee HD Junta Hidráulica 12"x6" (300 mm x 150 mm)</t>
  </si>
  <si>
    <t>Tee HD Junta Hidráulica 12"x8" (300 mm x 200 mm)</t>
  </si>
  <si>
    <t>Tee HD Junta Hidráulica 12"x10" (300 mm x 250 mm)</t>
  </si>
  <si>
    <t>Tee HD Junta Hidráulica 12"x12" (300 mm x 300 mm)</t>
  </si>
  <si>
    <t>Tee HD Junta Hidráulica 14"x3" (350 mm x 75 mm)</t>
  </si>
  <si>
    <t>Tee HD Junta Hidráulica 14"x4" (350 mm x 100 mm)</t>
  </si>
  <si>
    <t>Tee HD Junta Hidráulica 14"x6" (350 mm x 150 mm)</t>
  </si>
  <si>
    <t>Tee HD Junta Hidráulica 16"x4"  (350 mm x 100 mm)</t>
  </si>
  <si>
    <t>60.1</t>
  </si>
  <si>
    <t>60.2</t>
  </si>
  <si>
    <t>60.3</t>
  </si>
  <si>
    <t>60.4</t>
  </si>
  <si>
    <t>60.5</t>
  </si>
  <si>
    <t>60.6</t>
  </si>
  <si>
    <t>60.7</t>
  </si>
  <si>
    <t>60.8</t>
  </si>
  <si>
    <t>60.9</t>
  </si>
  <si>
    <t>60.10</t>
  </si>
  <si>
    <t>60.11</t>
  </si>
  <si>
    <t>60.12</t>
  </si>
  <si>
    <t>60.13</t>
  </si>
  <si>
    <t>60.14</t>
  </si>
  <si>
    <t>60.15</t>
  </si>
  <si>
    <t>60.16</t>
  </si>
  <si>
    <t>60.17</t>
  </si>
  <si>
    <t>60.18</t>
  </si>
  <si>
    <t>60.19</t>
  </si>
  <si>
    <t>60.21</t>
  </si>
  <si>
    <t>60.22</t>
  </si>
  <si>
    <t>60.23</t>
  </si>
  <si>
    <t>60.24</t>
  </si>
  <si>
    <t>60.25</t>
  </si>
  <si>
    <t>60.26</t>
  </si>
  <si>
    <t>60.27</t>
  </si>
  <si>
    <t>60.28</t>
  </si>
  <si>
    <t>60.29</t>
  </si>
  <si>
    <t>60.30</t>
  </si>
  <si>
    <t>60.31</t>
  </si>
  <si>
    <t>60.32</t>
  </si>
  <si>
    <t>60.35</t>
  </si>
  <si>
    <t>60.36</t>
  </si>
  <si>
    <t>60.37</t>
  </si>
  <si>
    <t>60.38</t>
  </si>
  <si>
    <t>60.39</t>
  </si>
  <si>
    <t>60.40</t>
  </si>
  <si>
    <t>60.41</t>
  </si>
  <si>
    <t>60.42</t>
  </si>
  <si>
    <t>60.43</t>
  </si>
  <si>
    <t>60.44</t>
  </si>
  <si>
    <t>60.45</t>
  </si>
  <si>
    <t>60.46</t>
  </si>
  <si>
    <t>60.47</t>
  </si>
  <si>
    <t>60.48</t>
  </si>
  <si>
    <t>60.49</t>
  </si>
  <si>
    <t>60.50</t>
  </si>
  <si>
    <t>60.51</t>
  </si>
  <si>
    <t>60.52</t>
  </si>
  <si>
    <t>60.53</t>
  </si>
  <si>
    <t>60.54</t>
  </si>
  <si>
    <t>60.55</t>
  </si>
  <si>
    <t>60.56</t>
  </si>
  <si>
    <t>60.57</t>
  </si>
  <si>
    <t>60.58</t>
  </si>
  <si>
    <t>60.59</t>
  </si>
  <si>
    <t>60.60</t>
  </si>
  <si>
    <t>60.61</t>
  </si>
  <si>
    <t>60.62</t>
  </si>
  <si>
    <t>60.63</t>
  </si>
  <si>
    <t>60.64</t>
  </si>
  <si>
    <t>60.65</t>
  </si>
  <si>
    <t>60.66</t>
  </si>
  <si>
    <t>60.67</t>
  </si>
  <si>
    <t>60.68</t>
  </si>
  <si>
    <t>60.69</t>
  </si>
  <si>
    <t>70.1</t>
  </si>
  <si>
    <t>70.2</t>
  </si>
  <si>
    <t>70.3</t>
  </si>
  <si>
    <t>70.4</t>
  </si>
  <si>
    <t>70.5</t>
  </si>
  <si>
    <t>70.6</t>
  </si>
  <si>
    <t>70.7</t>
  </si>
  <si>
    <t>70.8</t>
  </si>
  <si>
    <t>70.9</t>
  </si>
  <si>
    <t>70.10</t>
  </si>
  <si>
    <t>70.11</t>
  </si>
  <si>
    <t>70.12</t>
  </si>
  <si>
    <t>70.13</t>
  </si>
  <si>
    <t>70.14</t>
  </si>
  <si>
    <t>70.15</t>
  </si>
  <si>
    <t>70.16</t>
  </si>
  <si>
    <t>70.17</t>
  </si>
  <si>
    <t>70.18</t>
  </si>
  <si>
    <t>70.19</t>
  </si>
  <si>
    <t>70.20</t>
  </si>
  <si>
    <t>70.21</t>
  </si>
  <si>
    <t>70.22</t>
  </si>
  <si>
    <t>70.23</t>
  </si>
  <si>
    <t>70.24</t>
  </si>
  <si>
    <t>70.25</t>
  </si>
  <si>
    <t>70.26</t>
  </si>
  <si>
    <t>70.27</t>
  </si>
  <si>
    <t>70.28</t>
  </si>
  <si>
    <t>70.29</t>
  </si>
  <si>
    <t>70.30</t>
  </si>
  <si>
    <t>70.31</t>
  </si>
  <si>
    <t>70.32</t>
  </si>
  <si>
    <t>70.33</t>
  </si>
  <si>
    <t>70.34</t>
  </si>
  <si>
    <t>70.35</t>
  </si>
  <si>
    <t>70.36</t>
  </si>
  <si>
    <t>70.37</t>
  </si>
  <si>
    <t>70.38</t>
  </si>
  <si>
    <t>70.39</t>
  </si>
  <si>
    <t>60.70</t>
  </si>
  <si>
    <t>Tee Brida Brida 4" X 4" (100 mm x 100 mm)</t>
  </si>
  <si>
    <t>CODOS</t>
  </si>
  <si>
    <t>CRUCES</t>
  </si>
  <si>
    <t>50.76</t>
  </si>
  <si>
    <t>Niple Bridado L=0,25 m 110 mm (4")</t>
  </si>
  <si>
    <t>50.77</t>
  </si>
  <si>
    <t>Niple Brida Extremo Liso L=0,50 m 110 mm (4")</t>
  </si>
  <si>
    <t>50.78</t>
  </si>
  <si>
    <t>Niple Brida Extremo Liso L=0,50 m 150 mm (6")</t>
  </si>
  <si>
    <t>Adaptador Hembra 2"</t>
  </si>
  <si>
    <t>Adaptador Hembra 2 1/2"</t>
  </si>
  <si>
    <t>Adaptador Hembra 3"</t>
  </si>
  <si>
    <t>Adaptador Hembra 4"</t>
  </si>
  <si>
    <t>22.64</t>
  </si>
  <si>
    <t>22.65</t>
  </si>
  <si>
    <t>22.66</t>
  </si>
  <si>
    <t>22.67</t>
  </si>
  <si>
    <t>22.68</t>
  </si>
  <si>
    <t>22.69</t>
  </si>
  <si>
    <t>22.70</t>
  </si>
  <si>
    <t>22.71</t>
  </si>
  <si>
    <t>22.72</t>
  </si>
  <si>
    <t>Tapón Soldado Presión 1/2"</t>
  </si>
  <si>
    <t>Tapón Soldado Presión 3/4"</t>
  </si>
  <si>
    <t>Tapón Soldado Presión 1"</t>
  </si>
  <si>
    <t>Tapón Soldado Presión 1 1/4"</t>
  </si>
  <si>
    <t>Tapón Soldado Presión 1 1/2"</t>
  </si>
  <si>
    <t>Tapón Soldado Presión 2"</t>
  </si>
  <si>
    <t>Tapón Soldado Presión 2 1/2"</t>
  </si>
  <si>
    <t>Tapón Soldado Presión 3"</t>
  </si>
  <si>
    <t>Tapón Soldado Presión 4"</t>
  </si>
  <si>
    <t>22.73</t>
  </si>
  <si>
    <t>22.74</t>
  </si>
  <si>
    <t>22.75</t>
  </si>
  <si>
    <t>8.10</t>
  </si>
  <si>
    <t>Pintura Naranja/Blanco</t>
  </si>
  <si>
    <t>11.24</t>
  </si>
  <si>
    <t>1.3.2</t>
  </si>
  <si>
    <t xml:space="preserve"> Localización y Replanteo de Redes (incluye topografía y plano récord)</t>
  </si>
  <si>
    <t>Dibujante Plano Record</t>
  </si>
  <si>
    <t>13.27</t>
  </si>
  <si>
    <t>Instalaciones Provisionales para Campamento</t>
  </si>
  <si>
    <t>11.25</t>
  </si>
  <si>
    <t>Alquiler de bodega para campamento</t>
  </si>
  <si>
    <t>Mes</t>
  </si>
  <si>
    <t>22.76</t>
  </si>
  <si>
    <t>22.77</t>
  </si>
  <si>
    <t>22.78</t>
  </si>
  <si>
    <t>22.79</t>
  </si>
  <si>
    <t>22.80</t>
  </si>
  <si>
    <t>22.81</t>
  </si>
  <si>
    <t>24.16</t>
  </si>
  <si>
    <t>Lubricante para Tubería  Unión Platino, Biaxial (Tarro de 4 Kg)</t>
  </si>
  <si>
    <t>11.30</t>
  </si>
  <si>
    <t>Equipo de Corte y Soldadura</t>
  </si>
  <si>
    <t>OBRAS EN CONCRETO HIDRAÙLICO</t>
  </si>
  <si>
    <t>Arena lavada y clasificada para Base de Adoquines</t>
  </si>
  <si>
    <t>Arena delgada clasificada seca para Sello de Juntas</t>
  </si>
  <si>
    <t>Curador para Concreto tipo Antisol blanco</t>
  </si>
  <si>
    <t>Acelerante concreto SIKASET L  x 5 Kg</t>
  </si>
  <si>
    <t>ACERO DE REFUERZO</t>
  </si>
  <si>
    <t>Acero de Refuerzo 1/4" a 3/8" de 420 MPa</t>
  </si>
  <si>
    <t>Acero de Refuerzo 1/2" a 1 1/4" de 420 MPa</t>
  </si>
  <si>
    <t>Acero de Refuerzo 7/8" a 1" de 260 MPa</t>
  </si>
  <si>
    <t>Alambre de Amarre Cal 18</t>
  </si>
  <si>
    <t>Malla Electrosoldada tipo D 084 (15x15 cm x 4 m.m.)</t>
  </si>
  <si>
    <t>Malla Electrosoldada tipo D 131 (15x15 cm x 5 m.m.)</t>
  </si>
  <si>
    <t>Malla Electrosoldada tipo D 188 (15x15 cm x 6 m.m.)</t>
  </si>
  <si>
    <t>Malla triple torsión Cal 13 para Gavión (2.0 x 1.0 x 1.0)</t>
  </si>
  <si>
    <t>Alambre Galvanizado Calibre 10</t>
  </si>
  <si>
    <t>Alambre Galvanizado Calibre 12</t>
  </si>
  <si>
    <t>Alambre Galvanizado Calibre 14</t>
  </si>
  <si>
    <t xml:space="preserve">SELLOS JUNTAS </t>
  </si>
  <si>
    <t>Cinta Pvc V - 10 (10 cm.) p/sellado de Juntas de Concretos</t>
  </si>
  <si>
    <t>Cinta Pvc V - 15 (15 cm.) p/sellado de Juntas de Concretos</t>
  </si>
  <si>
    <t>Cinta Pvc V - 22 (22 cm.) p/sellado de Juntas de Concretos</t>
  </si>
  <si>
    <t>PINTURAS</t>
  </si>
  <si>
    <t>Pintura Asfáltica R 190 para Protección de Malla de Gavión</t>
  </si>
  <si>
    <t>Galón</t>
  </si>
  <si>
    <t>Carburo</t>
  </si>
  <si>
    <t>Pintura en aceite</t>
  </si>
  <si>
    <t>Estuco y Pintura de Fachadas (3 Manos)</t>
  </si>
  <si>
    <t>Pintura de Bajantes de Aguas Lluvias de Fachada</t>
  </si>
  <si>
    <t>Pintura tipo Tráfico</t>
  </si>
  <si>
    <t>Wash primer</t>
  </si>
  <si>
    <t>1/4 Galón</t>
  </si>
  <si>
    <t>Pintulux amarilla</t>
  </si>
  <si>
    <t xml:space="preserve">MATERIALES PARA DRENES </t>
  </si>
  <si>
    <t>Geotextil No tejido tipo Pavco 1600</t>
  </si>
  <si>
    <t>Geotextil No tejido tipo Pavco 2000</t>
  </si>
  <si>
    <t>Tubería Pvc para Subdrén de 100 m.m.(Sin filtro)</t>
  </si>
  <si>
    <t>Tubería Pvc para Subdrén de 65 mm (Sin filtro)</t>
  </si>
  <si>
    <t>ENSAYOS DE LABORATORIO</t>
  </si>
  <si>
    <t>Ensayo de Granulometría de Material para Relleno</t>
  </si>
  <si>
    <t>Ensayo de Próctor Modificado para Material de Relleno</t>
  </si>
  <si>
    <t>Ensayo de Porcentaje de Caras Fracturadas</t>
  </si>
  <si>
    <t>Ensayo de Densidad en campo p/Compactación de Relleno</t>
  </si>
  <si>
    <t>Ensayo de Desgaste en Máquina de los Angeles</t>
  </si>
  <si>
    <t>Ensayo de Límites de Atterberg</t>
  </si>
  <si>
    <t>Ensayo de Resistencia a la Compresión del Concreto</t>
  </si>
  <si>
    <t>Ensayo de Resistencia a la Flexión del Concreto</t>
  </si>
  <si>
    <t>ALQUILER EQUIPO</t>
  </si>
  <si>
    <t>Alquiler de VibroCompactador tipo Canguro</t>
  </si>
  <si>
    <t>Alquiler de Vibrocompactador tipo Rana</t>
  </si>
  <si>
    <t>Alquiler de Vibrocompactador tipo Benitín (700 Kg)</t>
  </si>
  <si>
    <t>Hora</t>
  </si>
  <si>
    <t>Alquiler cortadora de pavimento</t>
  </si>
  <si>
    <t>Alquiler de Cortadora eléctrica</t>
  </si>
  <si>
    <t>Alquiler Tablero de 1.40 x 0.70 Mt</t>
  </si>
  <si>
    <t>Alquiler Vigueta Reforzada de 3.0 m.</t>
  </si>
  <si>
    <t>Cemento Portland gris tipo 1 x 50 Kg Puesto en obra</t>
  </si>
  <si>
    <t>Valvulas de admision y expulsion de aire con globo incorporado (ventosas) 3"</t>
  </si>
  <si>
    <t>Valvula reguladora de caudal</t>
  </si>
  <si>
    <t>Gastos oficina principal</t>
  </si>
  <si>
    <t>EMPOCALDAS S.A E.S.P</t>
  </si>
  <si>
    <t>EMPOCALDAS S.A E.S.P.</t>
  </si>
  <si>
    <t>Concreto MR 42 KG/CM2 - MATERIAL HONDA TOLIMA</t>
  </si>
  <si>
    <t>ANALISIS DE PRECIOS UNITARIOS</t>
  </si>
  <si>
    <t>10.2.1</t>
  </si>
  <si>
    <t>TOTAL PROYECTO</t>
  </si>
  <si>
    <t>4.1.1.2</t>
  </si>
  <si>
    <t>OBRAS EN CONCRETO HIDRAULICO</t>
  </si>
  <si>
    <t>Válvula Mariposa BxB Tipo Wafer 3". Cuerpo de Hierro N° 150 Disco-Acero Inoxidable mando de palanca marca apollo o similar.</t>
  </si>
  <si>
    <t>25.45</t>
  </si>
  <si>
    <t>3.1.1</t>
  </si>
  <si>
    <t>Plan de Gestion Social (Con Prestac. Sociales)</t>
  </si>
  <si>
    <t>Ensayos de Laboratorio</t>
  </si>
  <si>
    <t>Tubería Presión RDE 32.5  125 PSI de 3"</t>
  </si>
  <si>
    <t>Impuesto de Seguridad</t>
  </si>
  <si>
    <t>Cruz 3" x 3" H.F J.H PVC</t>
  </si>
  <si>
    <t>Codo de 3" x 90 H.F J.H PVC</t>
  </si>
  <si>
    <t>Reduccion de 3" x 2" H.F J.H PVC</t>
  </si>
  <si>
    <t>23.3.1</t>
  </si>
  <si>
    <t>2.2.1</t>
  </si>
  <si>
    <t>SUSTITUCIONES, SUB-BASES Y BASES COMPACTADAS</t>
  </si>
  <si>
    <t>10.3.1</t>
  </si>
  <si>
    <t>2.2.2</t>
  </si>
  <si>
    <t xml:space="preserve">Demolición de Andenes y Sardineles en Concreto Hidráulico            </t>
  </si>
  <si>
    <t>DEMOLICIONES</t>
  </si>
  <si>
    <t>12.1.3</t>
  </si>
  <si>
    <t>12.6.1</t>
  </si>
  <si>
    <t>12.4.2</t>
  </si>
  <si>
    <t>12.4.3</t>
  </si>
  <si>
    <t xml:space="preserve">Corte mecanizado de Pavimentos de Concreto Hidráulico        (0.07 m.)                                </t>
  </si>
  <si>
    <t xml:space="preserve">Corte mecanizado Andén/Sardinel de Concreto Hidráulico       (0.03 m)                                </t>
  </si>
  <si>
    <t xml:space="preserve">Andenes/Rampas/Peatonales en Concreto Premezclado (21 Mpa)                    </t>
  </si>
  <si>
    <t>23.3.2</t>
  </si>
  <si>
    <t>25.14.1</t>
  </si>
  <si>
    <t>25.14.2</t>
  </si>
  <si>
    <t>Silleta Polietileno PE 160 x 20 m.m. para Socket</t>
  </si>
  <si>
    <t>Silleta Polietileno PE 200 x 20 m.m. para Socket</t>
  </si>
  <si>
    <t>23.3.3</t>
  </si>
  <si>
    <t>23.3.4</t>
  </si>
  <si>
    <t xml:space="preserve">Impuesto de RETE ICA </t>
  </si>
  <si>
    <t>12.5.2</t>
  </si>
  <si>
    <t xml:space="preserve">Sellado de Juntas de Pavimentos de Concreto Hidráulico            (0.005 m)                        </t>
  </si>
  <si>
    <t>6.5.1</t>
  </si>
  <si>
    <t xml:space="preserve">Anclaje y Empotramiento de Tuberías en Concreto 21 Mpa                     </t>
  </si>
  <si>
    <t>Acometida  8"x1/2"</t>
  </si>
  <si>
    <t>Tee 3"x3" HD Junta Hidraulica</t>
  </si>
  <si>
    <t>Tee 4"x4" HD Junta Hidraulica</t>
  </si>
  <si>
    <t>Tee 6"x6" HD Junta Hidraulica</t>
  </si>
  <si>
    <t>OBRA CIVIL</t>
  </si>
  <si>
    <t>SUMINISTRO</t>
  </si>
  <si>
    <t>VALOR OBRA CIVIL</t>
  </si>
  <si>
    <t>SUMINISTROS</t>
  </si>
  <si>
    <t>MATERIALES</t>
  </si>
  <si>
    <t>M. OBRA N.C</t>
  </si>
  <si>
    <t>M. OBRA C</t>
  </si>
  <si>
    <t xml:space="preserve">Pavimentos completos en concreto producido en obra  Mr= 42 Kg/cm2, (e=0.18 m)      </t>
  </si>
  <si>
    <t>ø</t>
  </si>
  <si>
    <t>70.1.1</t>
  </si>
  <si>
    <t>Cruz HD 2"x2" (50 mm x 50 mm) Extremo Liso</t>
  </si>
  <si>
    <t>70.1.2</t>
  </si>
  <si>
    <t>Cruz HD 3"x2" (75 mm x 50 mm) Extremo Liso</t>
  </si>
  <si>
    <t>90 REDUCCIONES ,TAPONES, GALAPAGOS</t>
  </si>
  <si>
    <t>100 ACOPLES UNIVERSALES</t>
  </si>
  <si>
    <t>60.20.1</t>
  </si>
  <si>
    <t>Tee HD 3"X 2" (75 mm x 50 mm) Extremo Liso</t>
  </si>
  <si>
    <t>23.1.1</t>
  </si>
  <si>
    <t>23.2.1</t>
  </si>
  <si>
    <t>23.4.1</t>
  </si>
  <si>
    <t>23.5.1</t>
  </si>
  <si>
    <t>23.8.1</t>
  </si>
  <si>
    <t>60.33.1</t>
  </si>
  <si>
    <t>60.34.1</t>
  </si>
  <si>
    <t>60.20.2</t>
  </si>
  <si>
    <t>m3</t>
  </si>
  <si>
    <t>23.64.1</t>
  </si>
  <si>
    <t>Tee HD 2" x 4" (60 mm x 100 mm) Extremo liso</t>
  </si>
  <si>
    <t>Tuberia de Polietileno PE 100 AD  PN 10 de 350 mm (14")</t>
  </si>
  <si>
    <t>27.27</t>
  </si>
  <si>
    <t>TAPONES</t>
  </si>
  <si>
    <t>VALVULAS</t>
  </si>
  <si>
    <t>MACROMEDIDORES</t>
  </si>
  <si>
    <t>MACROMEDIDOR TIPO ELECTROMAGNETICO 16"</t>
  </si>
  <si>
    <t>MACROMEDIDOR TIPO ELECTROMAGNETICO 12"</t>
  </si>
  <si>
    <t>MACROMEDIDOR TIPO ELECTROMAGNETICO 10"</t>
  </si>
  <si>
    <t>MACROMEDIDOR TIPO ELECTROMAGNETICO 8"</t>
  </si>
  <si>
    <t>TEES HD</t>
  </si>
  <si>
    <t xml:space="preserve"> CODOS HD</t>
  </si>
  <si>
    <t>REDUCCIONES HD</t>
  </si>
  <si>
    <t>CRUCES HD</t>
  </si>
  <si>
    <t>CRUZ HD 12"x 3" JH o EL</t>
  </si>
  <si>
    <t>CRUZ HD 2"x 2" JH o EL</t>
  </si>
  <si>
    <t>CRUZ HD 4"x 6" JH o EL</t>
  </si>
  <si>
    <t>CRUZ HD 8"x 8" JH o EL</t>
  </si>
  <si>
    <t>CRUZ HD 8"x 3" JH o EL</t>
  </si>
  <si>
    <t>CRUZ HD 4"x 4" JH o EL</t>
  </si>
  <si>
    <t>CRUZ HD 4"x 3" JH o EL</t>
  </si>
  <si>
    <t>CRUZ HD 4"x 8" JH o EL</t>
  </si>
  <si>
    <t>CRUZ HD 3"x 3" JH o EL</t>
  </si>
  <si>
    <t>CRUZ HD 10"x 4" JH o EL</t>
  </si>
  <si>
    <t>CRUZ HD 10"x 3" JH o EL</t>
  </si>
  <si>
    <t>CRUZ HD 12"x 4" JH o EL</t>
  </si>
  <si>
    <t>CRUZ HD 12"x 12" JH o EL</t>
  </si>
  <si>
    <t>CRUZ HD 3"x 2" JH o EL</t>
  </si>
  <si>
    <t>CRUZ HD 6"x 3" JH o EL</t>
  </si>
  <si>
    <t>CRUZ HD 6"x 6" JH o EL</t>
  </si>
  <si>
    <t>TAPON HD 2" JH o EL</t>
  </si>
  <si>
    <t>TAPON HD 3" JH o EL</t>
  </si>
  <si>
    <t>TAPON HD 4" JH o EL</t>
  </si>
  <si>
    <t>TAPON HD 6" JH o EL</t>
  </si>
  <si>
    <t>VALVULA DE COMPUERTA ELASTICA HD JH o EL 12"</t>
  </si>
  <si>
    <t>VALVULA DE COMPUERTA ELASTICA HD JH o EL 10"</t>
  </si>
  <si>
    <t>VALVULA DE COMPUERTA ELASTICA HD JH o EL 8"</t>
  </si>
  <si>
    <t>VALVULA DE COMPUERTA ELASTICA HD JH o EL 6"</t>
  </si>
  <si>
    <t>VALVULA DE COMPUERTA ELASTICA HD JH o EL 4"</t>
  </si>
  <si>
    <t>VALVULA DE COMPUERTA ELASTICA HD JH o EL 3"</t>
  </si>
  <si>
    <t>VALVULA DE COMPUERTA ELASTICA HD JH o EL 2"</t>
  </si>
  <si>
    <t>UNIONES DE CONSTRUCCION Y REPARACION</t>
  </si>
  <si>
    <t>UNION DE CONSTRUCCION Y REPARACION HD 2"</t>
  </si>
  <si>
    <t>UNION DE CONSTRUCCION Y REPARACION HD 3"</t>
  </si>
  <si>
    <t>UNION DE CONSTRUCCION Y REPARACION HD 4"</t>
  </si>
  <si>
    <t>UNION DE CONSTRUCCION Y REPARACION HD 6"</t>
  </si>
  <si>
    <t>UNION DE CONSTRUCCION Y REPARACION HD 8"</t>
  </si>
  <si>
    <t>UNION DE CONSTRUCCION Y REPARACION HD 10"</t>
  </si>
  <si>
    <t>UNION DE CONSTRUCCION Y REPARACION HD 12"</t>
  </si>
  <si>
    <t>UNION DE CONSTRUCCION Y REPARACION HD 14"</t>
  </si>
  <si>
    <t>UNION DE CONSTRUCCION Y REPARACION HD 16"</t>
  </si>
  <si>
    <t>Acople Universa HD  2" AC - PVC, PVC - PVC 200psi</t>
  </si>
  <si>
    <t>Acople Universal HD HD 2" AC - PVC, PVC - PVC 200psi</t>
  </si>
  <si>
    <t>Acople Universal HD 3" AC - PVC, PVC - PVC 200 psi</t>
  </si>
  <si>
    <t>Acople Universal HD 4" AC - PVC, PVC - PVC 200psi</t>
  </si>
  <si>
    <t>Acople Universal HD 10" AC - PVC, PVC - PVC 200 psi</t>
  </si>
  <si>
    <t>Acople Universal HD 12" AC - PVC, PVC - PVC 200 psi</t>
  </si>
  <si>
    <t>Acople Universal HD 6" AC - PVC, PVC - PVC 200 psi</t>
  </si>
  <si>
    <t>Acople Universal HD 8"AC - PVC, PVC - PVC 200 psi</t>
  </si>
  <si>
    <t>Acople Universal HD 16" AC - PVC, PVC - PVC 200 psi</t>
  </si>
  <si>
    <t>Acople Universal HD 14" AC - PVC, PVC - PVC 200 psi</t>
  </si>
  <si>
    <t>CODO 90° HD  16" JH, EL</t>
  </si>
  <si>
    <t>CODO 90° HD . 4" JH, EL</t>
  </si>
  <si>
    <t>CODO 90° HD  2" JH, EL</t>
  </si>
  <si>
    <t>CODO 90° HD . 3" JH, EL</t>
  </si>
  <si>
    <t>CODO 90° HD . 6" JH, EL</t>
  </si>
  <si>
    <t>Tee HD  16"x4" JH o EL</t>
  </si>
  <si>
    <t>Tee HD  14"x12" JH o EL</t>
  </si>
  <si>
    <t>Tee HD  12"x3" JH o EL</t>
  </si>
  <si>
    <t>Tee HD  12"x12" JH o EL</t>
  </si>
  <si>
    <t>Tee HD  3"x2" JH o EL</t>
  </si>
  <si>
    <t>Tee HD  10"x6" JH o EL</t>
  </si>
  <si>
    <t>Tee HD  6"x3" JH o EL</t>
  </si>
  <si>
    <t>Tee HD  10"x4" JH o EL</t>
  </si>
  <si>
    <t>Tee HD  10"x3" JH o EL</t>
  </si>
  <si>
    <t>Tee HD  8"x8" JH o EL</t>
  </si>
  <si>
    <t>Tee HD  3"x3" JH o EL</t>
  </si>
  <si>
    <t>Tee HD  4"x3" JH o EL</t>
  </si>
  <si>
    <t>Tee HD  2"x4" JH o EL</t>
  </si>
  <si>
    <t>Tee HD  2"x2" JH o EL</t>
  </si>
  <si>
    <t>Tee HD  3"x6" JH o EL</t>
  </si>
  <si>
    <t>Tee HD  3"x8" JH o EL</t>
  </si>
  <si>
    <t>Tee HD  10"x8" JH o EL</t>
  </si>
  <si>
    <t>REDUCCION HD HD 4" X 3" JH o EL</t>
  </si>
  <si>
    <t>REDUCCION HD 4" X 2" JH o EL</t>
  </si>
  <si>
    <t>REDUCCION HD 16" X 14" JH o EL</t>
  </si>
  <si>
    <t>REDUCCION HD 12" X 3" JH o EL</t>
  </si>
  <si>
    <t>REDUCCION HD 10" X 8" JH o EL</t>
  </si>
  <si>
    <t>REDUCCION HD 10" X 12" JH o EL</t>
  </si>
  <si>
    <t>REDUCCION HD 12" X 8" JH o EL</t>
  </si>
  <si>
    <t>REDUCCION HD 2" X 3" JH o EL</t>
  </si>
  <si>
    <t>REDUCCION HD 8" X 3" JH o EL</t>
  </si>
  <si>
    <t>REDUCCION HD 6" X 3" JH o EL</t>
  </si>
  <si>
    <t>REDUCCION HD 12" X 6" JH o EL</t>
  </si>
  <si>
    <t>77.6.1</t>
  </si>
  <si>
    <t>Tee HD  2"x6" JH o EL</t>
  </si>
  <si>
    <t>KG</t>
  </si>
  <si>
    <t>SMMLV AÑO 2013</t>
  </si>
  <si>
    <t>Tubería PVC con union Completa  RDE 26 160 PSI de 2"</t>
  </si>
  <si>
    <t>Tubería PVC RDE 21 200 PSI de 2 1/2"</t>
  </si>
  <si>
    <t>Tubería PVC RDE 21 200 PSI de 3"</t>
  </si>
  <si>
    <t>Tubería PVC  con union Completa RDE 32,5 125 PSI de 3"</t>
  </si>
  <si>
    <t>Tubería PVC RDE 41 100 PSI de 4"</t>
  </si>
  <si>
    <t>Tubería PVC RDE 41 100 PSI de 6"</t>
  </si>
  <si>
    <t>Tubería PVC RDE 41 100 PSI de 8"</t>
  </si>
  <si>
    <t>Tubería PVC  con union Completa RDE 32.5 125 PSI de 4"</t>
  </si>
  <si>
    <t>Tubería PVC  con union Completa RDE 32.5 125 PSI de 6"</t>
  </si>
  <si>
    <t>Tubería PVC  con union Completa RDE 32.5 125 PSI de 8"</t>
  </si>
  <si>
    <t>Tubería PVC  con union Completa RDE 32.5 125 PSI de 10"</t>
  </si>
  <si>
    <t>Tubería PVC  con union Completa RDE 32.5 125 PSI de 12"</t>
  </si>
  <si>
    <t>Tubería PVC  con union Completa RDE 32.5 125 PSI de 14"</t>
  </si>
  <si>
    <t>Tubería PVC  con union Completa RDE 32.5 125 PSI de 16"</t>
  </si>
  <si>
    <t>Tubería PVC RDE 32.5 125 PSI de 18"</t>
  </si>
  <si>
    <t>Tubería PVC RDE 21 125 PSI de 20"</t>
  </si>
  <si>
    <t>FEBRERO  DE 2013</t>
  </si>
  <si>
    <t>90.1.1</t>
  </si>
  <si>
    <t>VALVULA DE COMPUERTA ELASTICA HD JH o EL 16"</t>
  </si>
  <si>
    <t>CERAMICA PARA EXTERIORES</t>
  </si>
  <si>
    <t>5.33</t>
  </si>
  <si>
    <t>Ceramica para exteriores</t>
  </si>
  <si>
    <t>MUNICIPIO DE  LA DORADA</t>
  </si>
  <si>
    <t>ZANJA</t>
  </si>
  <si>
    <t>RED DE ALCANTARILLADO COMBINADO</t>
  </si>
  <si>
    <t xml:space="preserve">ANCHO </t>
  </si>
  <si>
    <t>UBICACIÓN</t>
  </si>
  <si>
    <t>TRAMO</t>
  </si>
  <si>
    <t>LONGITUD   (m)</t>
  </si>
  <si>
    <t>DIAMETRO (in)</t>
  </si>
  <si>
    <t>DIAMETRO (mm)</t>
  </si>
  <si>
    <t>INICIO</t>
  </si>
  <si>
    <t>FINAL</t>
  </si>
  <si>
    <t>PENDIENTE (%)</t>
  </si>
  <si>
    <t>PENDIENTE  TERRENO(%)</t>
  </si>
  <si>
    <t>TIPO ZANJA</t>
  </si>
  <si>
    <t>OBSERVACIONES</t>
  </si>
  <si>
    <t>COTAS (msnm)</t>
  </si>
  <si>
    <t>ALTURA     (m)</t>
  </si>
  <si>
    <t>RECUBRIMIENTO (m)</t>
  </si>
  <si>
    <t>Terreno</t>
  </si>
  <si>
    <t>Batea</t>
  </si>
  <si>
    <t>Cra 6 cll5 - cll7</t>
  </si>
  <si>
    <t>EMPEDRADO</t>
  </si>
  <si>
    <t>Cra 4 entre Clls 7 y 8</t>
  </si>
  <si>
    <t>Cll7 entre Cra 5 y Cra 5</t>
  </si>
  <si>
    <t>Cra 7 entre clls 8 y 10</t>
  </si>
  <si>
    <t>Cra 6 cll8 - cll10</t>
  </si>
  <si>
    <t>Cll9 entre Cra 5 y 6</t>
  </si>
  <si>
    <t>Cra 5 entre clls 9 y 10</t>
  </si>
  <si>
    <t>Cll 10 Cra 5 y 6</t>
  </si>
  <si>
    <t>Cll 10 Cra 4 y 5</t>
  </si>
  <si>
    <t>Cra 5 cll12 - cll13</t>
  </si>
  <si>
    <t>Cra 5 cll14 - cll15</t>
  </si>
  <si>
    <t>Cra 4 cll14 - cll15</t>
  </si>
  <si>
    <t>Cll15 entre cras 5 y 6</t>
  </si>
  <si>
    <t>BARRIO PEÑITAS</t>
  </si>
  <si>
    <t>Cll 11 entre Cras 4 y 5</t>
  </si>
  <si>
    <t>Cll 11 entre Cras 6 y 7</t>
  </si>
  <si>
    <t>Cll 12 entre Cras 5 y 7</t>
  </si>
  <si>
    <t>Volumen m3</t>
  </si>
  <si>
    <t>ENTIBADO TIPO I</t>
  </si>
  <si>
    <t>ML</t>
  </si>
  <si>
    <t>ENTIBADO TIPO II</t>
  </si>
  <si>
    <t>ANCHO DE ZANJA</t>
  </si>
  <si>
    <t>DIAMETRO</t>
  </si>
  <si>
    <t>AREA TUBO</t>
  </si>
  <si>
    <t>LONGITUD</t>
  </si>
  <si>
    <t xml:space="preserve">DIAMETRO </t>
  </si>
  <si>
    <t>Pulg</t>
  </si>
  <si>
    <t>mm</t>
  </si>
  <si>
    <t>m2</t>
  </si>
  <si>
    <t>m</t>
  </si>
  <si>
    <t>TOTAL</t>
  </si>
  <si>
    <t>un</t>
  </si>
  <si>
    <t>PAVIMENTO</t>
  </si>
  <si>
    <t>EMPALMES DE DOMICILIARIAS</t>
  </si>
  <si>
    <t>TOTAL ACOMETIDAS</t>
  </si>
  <si>
    <t>CALCULO CANTIDADES DE OBRA</t>
  </si>
  <si>
    <t>TUBERIAS A UTILIZAR ALCANTARILLADO</t>
  </si>
  <si>
    <t>RESUMEN</t>
  </si>
  <si>
    <t>MATERIAL</t>
  </si>
  <si>
    <t>DIÁMETRO in</t>
  </si>
  <si>
    <t>LONGITUD   m</t>
  </si>
  <si>
    <t>Cantidad Real</t>
  </si>
  <si>
    <t>PVC</t>
  </si>
  <si>
    <t xml:space="preserve">Excavación en zanja material común  de 0.00 a 2.00 m  </t>
  </si>
  <si>
    <t xml:space="preserve">Excavación en zanja material común  de 2.00 a 4.00 m  </t>
  </si>
  <si>
    <t>EXCAVACION TOTAL</t>
  </si>
  <si>
    <t>Demolición de pavimentos en concreto hidráulico</t>
  </si>
  <si>
    <t>Demolición de andenes ( 0,6 x 0,6 x 0,1 x # domi)</t>
  </si>
  <si>
    <t xml:space="preserve">Demolición de Cámaras </t>
  </si>
  <si>
    <t>DOMICILIARIAS ALCANTARILLADO</t>
  </si>
  <si>
    <t>Área del pavimento (Demoliciones /0,18)</t>
  </si>
  <si>
    <t>Longitud Acometida (m)</t>
  </si>
  <si>
    <t xml:space="preserve">N° De domiciliarias </t>
  </si>
  <si>
    <t>TOTAL   mts</t>
  </si>
  <si>
    <t>Pavimento (0,18)  principal</t>
  </si>
  <si>
    <t>Afirmado (e=0,25)</t>
  </si>
  <si>
    <t xml:space="preserve">RELLENO </t>
  </si>
  <si>
    <t>Relleno con material de excavacion</t>
  </si>
  <si>
    <t>CAMARAS DE INSPECCION</t>
  </si>
  <si>
    <t xml:space="preserve">Numero de cámaras </t>
  </si>
  <si>
    <t>Numero de sumideros nuevos</t>
  </si>
  <si>
    <t>RETIRO DE ESCOMBROS</t>
  </si>
  <si>
    <t>Prof cámaras (ml)</t>
  </si>
  <si>
    <t>RETIRO ESCOMBROS= Pavimento + Afirmado + Volumen desplazado por el tubo + Material de sustitución + Arena + Demolición anden + Demolición de las cámaras</t>
  </si>
  <si>
    <t>Numero de Empalmes</t>
  </si>
  <si>
    <t>ml camaras</t>
  </si>
  <si>
    <t>demolicion camaras</t>
  </si>
  <si>
    <t>Volumen</t>
  </si>
  <si>
    <t>Ancho zanja</t>
  </si>
  <si>
    <t>Volumen arena</t>
  </si>
  <si>
    <t>CORTE MECANIZADO EN PAVIMENTOS</t>
  </si>
  <si>
    <t>Corte mecanizado en vía ppal.</t>
  </si>
  <si>
    <t>ml</t>
  </si>
  <si>
    <t>Corte mecanizado para acometidas</t>
  </si>
  <si>
    <t>VOLUMEN DE ARENA</t>
  </si>
  <si>
    <t>Arena para encamado de tubería</t>
  </si>
  <si>
    <t>MEDIDAS (m)</t>
  </si>
  <si>
    <t>Ml de muros</t>
  </si>
  <si>
    <t>A</t>
  </si>
  <si>
    <t>D=F</t>
  </si>
  <si>
    <t>Tapa  m2</t>
  </si>
  <si>
    <t>Fondo m2</t>
  </si>
  <si>
    <t>B</t>
  </si>
  <si>
    <t>E=G</t>
  </si>
  <si>
    <t>Espesor Muros</t>
  </si>
  <si>
    <t>Volumen Concreto</t>
  </si>
  <si>
    <t>C</t>
  </si>
  <si>
    <t>R</t>
  </si>
  <si>
    <t>Cuantía acero</t>
  </si>
  <si>
    <t>Kg/m3</t>
  </si>
  <si>
    <t>S</t>
  </si>
  <si>
    <t>V</t>
  </si>
  <si>
    <t>Total Kg Acero</t>
  </si>
  <si>
    <t>kg</t>
  </si>
  <si>
    <t>2.2.1.1</t>
  </si>
  <si>
    <t>6.2.1</t>
  </si>
  <si>
    <t>6.2.3</t>
  </si>
  <si>
    <t>6.2.6</t>
  </si>
  <si>
    <t>6.2.8</t>
  </si>
  <si>
    <t>6.2.9</t>
  </si>
  <si>
    <t>6.2.12</t>
  </si>
  <si>
    <t>6.2.14</t>
  </si>
  <si>
    <t>6.2.16</t>
  </si>
  <si>
    <t>20.28.2</t>
  </si>
  <si>
    <t>ELEMENTOS ALCANTARILLADO</t>
  </si>
  <si>
    <t>6.5.2.1</t>
  </si>
  <si>
    <t xml:space="preserve">Cámara Circular de Inspección/Caída D=1.20 m. en Concreto 21 Mpa        </t>
  </si>
  <si>
    <t>6.5.2.3</t>
  </si>
  <si>
    <t xml:space="preserve">Base-Cañuela Cámara Circular Inspec D=1.20 m en Concreto 21 Mpa                      </t>
  </si>
  <si>
    <t>6.5.3.2</t>
  </si>
  <si>
    <t xml:space="preserve">Tapa HF D=0.60 m. p/Cámara de Inspección              </t>
  </si>
  <si>
    <t>6.5.4.1</t>
  </si>
  <si>
    <t xml:space="preserve">Caja de Inspección Empalme domiciliario  (0,50x0,50 m) en Concreto 21 Mpa            </t>
  </si>
  <si>
    <t>UN</t>
  </si>
  <si>
    <t>6.5.5.3</t>
  </si>
  <si>
    <t>Sumidero Doble Reja tipo Sifón en Concreto 21 Mpa-Tapa HF</t>
  </si>
  <si>
    <t>6.5.6.1</t>
  </si>
  <si>
    <t xml:space="preserve">Empalme a Cámaras de Inspección Concreto Clase II                          </t>
  </si>
  <si>
    <t>Entibado Tipo 2</t>
  </si>
  <si>
    <t>ENTIBADOS</t>
  </si>
  <si>
    <t>5.1.1</t>
  </si>
  <si>
    <t>Entibado Horizontal/Vertical Tipo 1</t>
  </si>
  <si>
    <t>5.1.2</t>
  </si>
  <si>
    <t>1.4.1.1</t>
  </si>
  <si>
    <t>Adecuacion de andenes y Rampas</t>
  </si>
  <si>
    <t xml:space="preserve">Ceramica para exteriores </t>
  </si>
  <si>
    <t>Mortero 1:3 M3</t>
  </si>
  <si>
    <t>ANÁLISIS PRESTACIONES SOCIALES MANO DE OBRA</t>
  </si>
  <si>
    <t>Mensual</t>
  </si>
  <si>
    <t>Diario</t>
  </si>
  <si>
    <t>Valor del Salario Mínimo en el año 2013</t>
  </si>
  <si>
    <t>Valor del Subsidio de Transporte en el año 2013</t>
  </si>
  <si>
    <t>Cálculo del Factor de Incidencia Prestacional</t>
  </si>
  <si>
    <t>Costos a cargo del Empleador</t>
  </si>
  <si>
    <t>Porcentaje</t>
  </si>
  <si>
    <t>Salario Nominal</t>
  </si>
  <si>
    <t>Cesantías</t>
  </si>
  <si>
    <t>Intereses de Cesantías</t>
  </si>
  <si>
    <t>Vacaciones</t>
  </si>
  <si>
    <t>Prima de Servicios</t>
  </si>
  <si>
    <t>Seguridad Social</t>
  </si>
  <si>
    <t>Salud</t>
  </si>
  <si>
    <t>Riesgos Profesionales</t>
  </si>
  <si>
    <t>Pensión</t>
  </si>
  <si>
    <t>Caja de Compensación Familiar</t>
  </si>
  <si>
    <t>Bienestar Familiar</t>
  </si>
  <si>
    <t>Servicio Nacional de Aprendizaje</t>
  </si>
  <si>
    <t>Fondo Industria de Construcción</t>
  </si>
  <si>
    <t>Subsidio de Transporte</t>
  </si>
  <si>
    <t>Servicios Médicos por Primer Mes</t>
  </si>
  <si>
    <t>Total nominal Salario mas Prestaciones Sociales</t>
  </si>
  <si>
    <t>Factor de Incidencia del Descanso remunerado</t>
  </si>
  <si>
    <t>(Cálculo para tres meses típicos)</t>
  </si>
  <si>
    <t>Número de días del período típico evaluado</t>
  </si>
  <si>
    <t>Número de Dominicales y Festivos no laborables</t>
  </si>
  <si>
    <t>Número de días laborables</t>
  </si>
  <si>
    <t>Recargo real por Prestaciones Sociales</t>
  </si>
  <si>
    <t>20.28.1</t>
  </si>
  <si>
    <t>Silla Yee 24" x 160"</t>
  </si>
  <si>
    <t>Silla Yee 27" x 160"</t>
  </si>
  <si>
    <t>20.28.3</t>
  </si>
  <si>
    <t>3/18cc - 5/18b</t>
  </si>
  <si>
    <t>5/18b - 5/18a</t>
  </si>
  <si>
    <t>5/18a - 5/18</t>
  </si>
  <si>
    <t>5/18 - 5/17g</t>
  </si>
  <si>
    <t>5/17g - 5/17f</t>
  </si>
  <si>
    <t>5/17f - 5/17e</t>
  </si>
  <si>
    <t>5/17e - 5/17d</t>
  </si>
  <si>
    <t>5/17d - 5/17c</t>
  </si>
  <si>
    <t>5/17c - 5/17b</t>
  </si>
  <si>
    <t>5/17b - 5/17a</t>
  </si>
  <si>
    <t>5/17a - 5/17</t>
  </si>
  <si>
    <t>5/17 - 5/16A</t>
  </si>
  <si>
    <t>5/16A - 5A/16A</t>
  </si>
  <si>
    <t>5A/16A - 5A/16</t>
  </si>
  <si>
    <t>5A/16 - 5Aa/16</t>
  </si>
  <si>
    <t>5Aa/16 - 5Ab/16</t>
  </si>
  <si>
    <t>5Ab/16 - 5Ac/16</t>
  </si>
  <si>
    <t>5Ac/16 - 5B/15Ab</t>
  </si>
  <si>
    <t>5Aa/17a - 5Aa/17</t>
  </si>
  <si>
    <t>5Aa/17 - 5Aa/16A</t>
  </si>
  <si>
    <t>5Aa/16A - 5B/16A</t>
  </si>
  <si>
    <t>5B/16A - 5B/15Ab</t>
  </si>
  <si>
    <t>5B/15Ab - 5Ba/15A</t>
  </si>
  <si>
    <t>5Ba/15A - 5Bb/15A</t>
  </si>
  <si>
    <t>5Bb/15A - 5Bc/15A</t>
  </si>
  <si>
    <t>2A/14 - 2B/14</t>
  </si>
  <si>
    <t>2B/14 - 3/14</t>
  </si>
  <si>
    <t>3/14 - 3A/14</t>
  </si>
  <si>
    <t>2B/12A - 3a/12A</t>
  </si>
  <si>
    <t>3a/12A - 3A/12A</t>
  </si>
  <si>
    <t>3A/12A - 3Aa/12Aa</t>
  </si>
  <si>
    <t>3a/12 - 4/12</t>
  </si>
  <si>
    <t>4/12 - 4A/12</t>
  </si>
  <si>
    <t>5/11 - 5/11a</t>
  </si>
  <si>
    <t>5/11a - 5/12</t>
  </si>
  <si>
    <t>6/10 - 6/11</t>
  </si>
  <si>
    <t>6/11 - 6/11a</t>
  </si>
  <si>
    <t>6/11a - 6/12</t>
  </si>
  <si>
    <t>6/12 - 6/12A</t>
  </si>
  <si>
    <t>5/9 - 6/9</t>
  </si>
  <si>
    <t>4/5 - 5/5</t>
  </si>
  <si>
    <t>5/5 - 6/5</t>
  </si>
  <si>
    <t>5/5 - 5/5a</t>
  </si>
  <si>
    <t>5/6 - 5/5a</t>
  </si>
  <si>
    <t>5/6 - 5/7</t>
  </si>
  <si>
    <t>7/4 - 7/5</t>
  </si>
  <si>
    <t>8/5 - 8/6</t>
  </si>
  <si>
    <t>8/8 - 8/6a</t>
  </si>
  <si>
    <t>8/6a - 8/6</t>
  </si>
  <si>
    <t>8/8 - 9/8</t>
  </si>
  <si>
    <t>9/8 - 10/8</t>
  </si>
  <si>
    <t>10/8 - 10A/8</t>
  </si>
  <si>
    <t>10A/8 - 11/8</t>
  </si>
  <si>
    <t>9/10 - 10/10</t>
  </si>
  <si>
    <t>10/8 - 10/10</t>
  </si>
  <si>
    <t>10/10 - 10a/10</t>
  </si>
  <si>
    <t>10a/10 - 10A/10</t>
  </si>
  <si>
    <t>10A/10 - 11/10</t>
  </si>
  <si>
    <t>11/8 - 11/10</t>
  </si>
  <si>
    <t>11/10 - 11/11</t>
  </si>
  <si>
    <t>8/11 - 9/11</t>
  </si>
  <si>
    <t>9/11 - 10/11</t>
  </si>
  <si>
    <t>10/11 - 11/11</t>
  </si>
  <si>
    <t>11/11 - 11/12</t>
  </si>
  <si>
    <t>8/12 - 9 /12</t>
  </si>
  <si>
    <t>9/12 - 10/12</t>
  </si>
  <si>
    <t>10/12 - 11/12</t>
  </si>
  <si>
    <t>11/12 - 11/13</t>
  </si>
  <si>
    <t>11/13 - 10/13</t>
  </si>
  <si>
    <t>10/6 - 11 /6</t>
  </si>
  <si>
    <t>11/6 - 11a/6</t>
  </si>
  <si>
    <t>11a/6 - 12/6</t>
  </si>
  <si>
    <t xml:space="preserve">12/6 - 12A/6 </t>
  </si>
  <si>
    <t>12A/6 - 12A/6a</t>
  </si>
  <si>
    <t>12A/6a - 12Aa/6a</t>
  </si>
  <si>
    <t>12Aa/6a - R7</t>
  </si>
  <si>
    <t>ING/1 - ING/2</t>
  </si>
  <si>
    <t>ING/2 - ING/3</t>
  </si>
  <si>
    <t>ING/3 - ING/4</t>
  </si>
  <si>
    <t>ING/4 - ING/5</t>
  </si>
  <si>
    <t>ING/5 - ING/6</t>
  </si>
  <si>
    <t>ING/6- 3/5</t>
  </si>
  <si>
    <t>480 - 479</t>
  </si>
  <si>
    <t>479 - 478</t>
  </si>
  <si>
    <t>478 - 474</t>
  </si>
  <si>
    <t>474 - 473</t>
  </si>
  <si>
    <t>473 - 472</t>
  </si>
  <si>
    <t>472 - 471</t>
  </si>
  <si>
    <t>PT1 - PT2</t>
  </si>
  <si>
    <t>PT2 - PT3</t>
  </si>
  <si>
    <t>PT3 - PT4</t>
  </si>
  <si>
    <t>R7 - R8</t>
  </si>
  <si>
    <t>R8 - 59</t>
  </si>
  <si>
    <t>R9 - R10</t>
  </si>
  <si>
    <t>R10 - R11</t>
  </si>
  <si>
    <t>R11 - DES</t>
  </si>
  <si>
    <t>DIAMETROS TUBERIA PVC</t>
  </si>
  <si>
    <t>DIAMETRO NOMINAL (in)</t>
  </si>
  <si>
    <t>DIAMETRO EXTERNO (mm)</t>
  </si>
  <si>
    <t>1764.34</t>
  </si>
  <si>
    <t>1757.44</t>
  </si>
  <si>
    <t>1764.01</t>
  </si>
  <si>
    <t>1761.82</t>
  </si>
  <si>
    <t>1752.30</t>
  </si>
  <si>
    <t>22.9.1</t>
  </si>
  <si>
    <t>22.9.2</t>
  </si>
  <si>
    <t>77.8.1</t>
  </si>
  <si>
    <t>77.8.2</t>
  </si>
  <si>
    <t>77.8.3</t>
  </si>
  <si>
    <t>77.8.4</t>
  </si>
  <si>
    <t>77.8.5</t>
  </si>
  <si>
    <t>77.8.6</t>
  </si>
  <si>
    <t>Tee HD  3"x 2" JH o EL</t>
  </si>
  <si>
    <t>Tee HD  4"x 2" JH o EL</t>
  </si>
  <si>
    <t>Tee HD  4"x 4" JH o EL</t>
  </si>
  <si>
    <t>Tee HD  6"x 6" JH o EL</t>
  </si>
  <si>
    <t>Tee HD  6"x 3" JH o EL</t>
  </si>
  <si>
    <t>Tee HD  8"x 3" JH o EL</t>
  </si>
  <si>
    <t>78.9.1</t>
  </si>
  <si>
    <t>78.9.2</t>
  </si>
  <si>
    <t>REDUCCION HD 6" X 4" JH o EL</t>
  </si>
  <si>
    <t>REDUCCION HD 6" X 8" JH o EL</t>
  </si>
  <si>
    <t>Tubería Presión RDE 21 con union completa  200 PSI de 3"</t>
  </si>
  <si>
    <t>Tubería Presión RDE 21 con union completa 200 PSI de 4"</t>
  </si>
  <si>
    <t>Tubería Presión RDE 21 con union completa 200 PSI de 6"</t>
  </si>
  <si>
    <t>Tubería Presión RDE 21 con union completa  200 PSI de 8"</t>
  </si>
  <si>
    <t>Ø 8</t>
  </si>
  <si>
    <t>Ø 6</t>
  </si>
  <si>
    <t>Ø 4</t>
  </si>
  <si>
    <t>Ø 3</t>
  </si>
  <si>
    <t>T3X2</t>
  </si>
  <si>
    <t>T 4X2</t>
  </si>
  <si>
    <t>T 4X4</t>
  </si>
  <si>
    <t>T 4X3</t>
  </si>
  <si>
    <t>T 3X3</t>
  </si>
  <si>
    <t>T6X6</t>
  </si>
  <si>
    <t>T6X3</t>
  </si>
  <si>
    <t>T8X3</t>
  </si>
  <si>
    <t>ACOPLE 2</t>
  </si>
  <si>
    <t>ACOPLE 3</t>
  </si>
  <si>
    <t>ACOPLE 4</t>
  </si>
  <si>
    <t>ACOPLE 6</t>
  </si>
  <si>
    <t>REDUCCION 3X2</t>
  </si>
  <si>
    <t>REDUCCION 4X2</t>
  </si>
  <si>
    <t>REDUCCION  4X3</t>
  </si>
  <si>
    <t>REDUCCION 6X4</t>
  </si>
  <si>
    <t>REDUCCION 6X3</t>
  </si>
  <si>
    <t>REDUCCION 6X8</t>
  </si>
  <si>
    <t>CODO 2</t>
  </si>
  <si>
    <t>CODO 3</t>
  </si>
  <si>
    <t>CODO 4</t>
  </si>
  <si>
    <t>CODO 6</t>
  </si>
  <si>
    <t>CRUCE 3X3</t>
  </si>
  <si>
    <t>CRUCE 4X4</t>
  </si>
  <si>
    <t>VALVULA 3</t>
  </si>
  <si>
    <t>VALVULA 4</t>
  </si>
  <si>
    <t>TAPON 3</t>
  </si>
  <si>
    <t>TAPON 4</t>
  </si>
  <si>
    <t>TUBERIA RDE 21 200 psi</t>
  </si>
  <si>
    <t>Collarines</t>
  </si>
  <si>
    <t>Total</t>
  </si>
  <si>
    <t>Demolicion Pavimentos</t>
  </si>
  <si>
    <t>Demolicion Andenes</t>
  </si>
  <si>
    <t>Excavacion Material Comun 0 - 2</t>
  </si>
  <si>
    <t>Encamado de arena</t>
  </si>
  <si>
    <t>Concreto para anclajes</t>
  </si>
  <si>
    <t>Afirmado</t>
  </si>
  <si>
    <t>Lleno</t>
  </si>
  <si>
    <t>6.2.10.1</t>
  </si>
  <si>
    <t>Demolicion bases cañuelas</t>
  </si>
  <si>
    <t>EVACUACION ESCOMBROS</t>
  </si>
  <si>
    <t>COSTO DIRECTO OBRA CIVIL</t>
  </si>
  <si>
    <t>SUBTOTAL</t>
  </si>
  <si>
    <t>L (m)</t>
  </si>
  <si>
    <t>Acometida</t>
  </si>
  <si>
    <t>RDE 21</t>
  </si>
  <si>
    <t>DIRECCION</t>
  </si>
  <si>
    <t>Acometida 1/2"</t>
  </si>
  <si>
    <t>Estampillas ProHospital Santa Sofia</t>
  </si>
  <si>
    <t>Valvula reguladora de presion, tipo Globo diametro 3" extremo B, ANSI 150 Presion de trabajo 260 PSI</t>
  </si>
  <si>
    <t>Valvula reguladora de presion, tipo Globo diametro 4" extremo B, ANSI 150 Presion de trabajo 260 PSI</t>
  </si>
  <si>
    <t>Valvula reguladora de presion, tipo Globo diametro 6" extremo B, ANSI 150 Presion de trabajo 260 PSI</t>
  </si>
  <si>
    <t>Valvula reguladora de presion, tipo Globo diametro 8" extremo B, ANSI 150 Presion de trabajo 260 PSI</t>
  </si>
  <si>
    <t>ESTACIONES REGULADORAS DE PRESION Y ACCESORIOS</t>
  </si>
  <si>
    <t>JUEGO DE EMPAQUE Y TORNILLOS EN Ø3"</t>
  </si>
  <si>
    <t>COLLAR HD/PVC DE 3"X1"</t>
  </si>
  <si>
    <t>VALVULA BOLA 1" LATON</t>
  </si>
  <si>
    <t>BRIDA UNIVERSAL DE 3"</t>
  </si>
  <si>
    <t>UNION UNIVERSAL DE 3"</t>
  </si>
  <si>
    <t>VALVULA AQT COMPUERTA ELASTICA BR 3"</t>
  </si>
  <si>
    <t>FILTRO HD TIPO "YEE" EN Ø3" EB X EB</t>
  </si>
  <si>
    <t>VENTOSA PLASTICA COMBINADA 1" (D1)</t>
  </si>
  <si>
    <t>JUEGO DE EMPAQUE Y TORNILLOS EN Ø4"</t>
  </si>
  <si>
    <t>COLLAR HD/PVC DE 4"X1"</t>
  </si>
  <si>
    <t>BRIDA UNIVERSAL DE 4"</t>
  </si>
  <si>
    <t>UNION UNIVERSAL DE 4"</t>
  </si>
  <si>
    <t>VALVULA AQT COMPUERTA ELASTICA BR 4"</t>
  </si>
  <si>
    <t>FILTRO HD TIPO "YEE" EN Ø4" EB X EB</t>
  </si>
  <si>
    <t>JUEGO DE EMPAQUE Y TORNILLOS EN Ø6"</t>
  </si>
  <si>
    <t>COLLAR HD/PVC DE 6"X1"</t>
  </si>
  <si>
    <t>BRIDA UNIVERSAL DE 6"</t>
  </si>
  <si>
    <t>UNION UNIVERSAL DE 6"</t>
  </si>
  <si>
    <t>VALVULA AQT COMPUERTA ELASTICA BR 6"</t>
  </si>
  <si>
    <t>FILTRO HD TIPO "YEE" EN Ø6" EB X EB</t>
  </si>
  <si>
    <t>Valvula reguladora de presion, tipo Globo diametro 2" extremo B, ANSI 150 Presion de trabajo 220 PSI</t>
  </si>
  <si>
    <t>JUEGO DE EMPAQUE Y TORNILLOS EN Ø2"</t>
  </si>
  <si>
    <t>COLLAR HD/PVC DE 2"X1"</t>
  </si>
  <si>
    <t>BRIDA UNIVERSAL DE 2"</t>
  </si>
  <si>
    <t>UNION UNIVERSAL DE 2"</t>
  </si>
  <si>
    <t>VALVULA AQT COMPUERTA ELASTICA BR 2"</t>
  </si>
  <si>
    <t>FILTRO HD TIPO "YEE" EN Ø2" EB X EB</t>
  </si>
  <si>
    <t>JUEGO DE EMPAQUE Y TORNILLOS EN Ø8"</t>
  </si>
  <si>
    <t>COLLAR HD/PVC DE 8"X1"</t>
  </si>
  <si>
    <t>BRIDA UNIVERSAL DE 8"</t>
  </si>
  <si>
    <t>UNION UNIVERSAL DE 8"</t>
  </si>
  <si>
    <t>VALVULA AQT COMPUERTA ELASTICA BR 8"</t>
  </si>
  <si>
    <t>FILTRO HD TIPO "YEE" EN Ø8" EB X EB</t>
  </si>
  <si>
    <t>ID VALVULA</t>
  </si>
  <si>
    <t>PRESION SALIDA mca</t>
  </si>
  <si>
    <t>PRESION SALIDA psi</t>
  </si>
  <si>
    <t>PULG</t>
  </si>
  <si>
    <t>VALVULAS REDUCTORAS DE PRESION 8</t>
  </si>
  <si>
    <t>VALVULAS REDUCTORAS DE PRESION 6</t>
  </si>
  <si>
    <t>VALVULAS REDUCTORAS DE PRESION 4</t>
  </si>
  <si>
    <t>VALVULAS REDUCTORAS DE PRESION 3</t>
  </si>
  <si>
    <t>VALVULAS REDUCTORAS DE PRESION 2</t>
  </si>
  <si>
    <t>LONG TUBERIA</t>
  </si>
  <si>
    <t>VALVULAS REGULADORAS DE PRESION</t>
  </si>
  <si>
    <t>PROYECTO: MEJORAMIENTO REDES DE  ALCANTARILLADO  MUNICIPIO DE MANZANARES.</t>
  </si>
  <si>
    <t>Tramo anclar</t>
  </si>
  <si>
    <t>De</t>
  </si>
  <si>
    <t>Longitud</t>
  </si>
  <si>
    <t>(m)</t>
  </si>
  <si>
    <t>Pendiente</t>
  </si>
  <si>
    <t>(%)</t>
  </si>
  <si>
    <t>Diametro</t>
  </si>
  <si>
    <t>(in)</t>
  </si>
  <si>
    <t># Anclajes</t>
  </si>
  <si>
    <t>Cantidad de anclajes por tramo</t>
  </si>
  <si>
    <t>L/6</t>
  </si>
  <si>
    <t xml:space="preserve">Concreto por Dado= </t>
  </si>
  <si>
    <t>(ancho Zanja x 0.20 x (0.15+D+0.15))-(3.1416 x (D^2)/4)</t>
  </si>
  <si>
    <t>Se debe anclar la tubería con pendiente mayor a 16%, cada 6 metros.</t>
  </si>
  <si>
    <t>C122</t>
  </si>
  <si>
    <t>C123</t>
  </si>
  <si>
    <t>C66</t>
  </si>
  <si>
    <t>C67</t>
  </si>
  <si>
    <t>C76</t>
  </si>
  <si>
    <t>D1</t>
  </si>
  <si>
    <t>Concreto.</t>
  </si>
  <si>
    <t>0.0797*FC(-1)</t>
  </si>
  <si>
    <t>0.162*FC(-1)</t>
  </si>
  <si>
    <t>Cll3 entre Cras 2 y 3</t>
  </si>
  <si>
    <t>Cra 4 calle 1</t>
  </si>
  <si>
    <t>Cra 4 calle 2</t>
  </si>
  <si>
    <t>Demolicion Escalas</t>
  </si>
  <si>
    <t>CANTIDADES DE OBRA ACUEDUCTO MANZANARES</t>
  </si>
  <si>
    <t>TAPON 2</t>
  </si>
  <si>
    <t>SUMINISTRO TRANSPORTE E INSTALACION TUBERÍA DE ALCANTARILLADO.</t>
  </si>
  <si>
    <t>SUMINISTRO TRANSPORTE E INSTALACION  ELEMENTOS DE ALCANTARILLADO</t>
  </si>
  <si>
    <t>SUMINISTRO TRANSPORTE E INSTALACION  SUSTITUCIONES, SUB-BASES Y BASES COMPACTADAS</t>
  </si>
  <si>
    <t>SUMINISTRO TRANSPORTE E INSTALACION ACERO DE REFUERZO PARA PAVIMENTOS</t>
  </si>
  <si>
    <t>Entibado</t>
  </si>
  <si>
    <t>IVA sobre U</t>
  </si>
  <si>
    <t xml:space="preserve">Acero de Refuerzo 60,000 PSI </t>
  </si>
  <si>
    <t>Fecha: 2016</t>
  </si>
  <si>
    <t>TRANSPORTES</t>
  </si>
  <si>
    <t>3.1.3</t>
  </si>
  <si>
    <t>8.1.3</t>
  </si>
  <si>
    <t>8.1.4</t>
  </si>
  <si>
    <t>Subbase Seleccionada tipo El Faro - INVIAS</t>
  </si>
  <si>
    <t>Entibado Metalico  Horizontal/Vertical Tipo 1</t>
  </si>
  <si>
    <t>M3/KM</t>
  </si>
  <si>
    <t>(Materiales granulares  para ejecucion de obra base, subbase, recebo, afirmado, arena, triturado)</t>
  </si>
  <si>
    <t>ACEROS DE REFUERZO</t>
  </si>
  <si>
    <t xml:space="preserve">Suministro e Instalación Tubería Pvc Corrugada 160 m.m. (6") para Alcantarillado.  Unión caucho (Según Norma NTC 3722 Y NTC5055)     </t>
  </si>
  <si>
    <t>TUBERIA ALCANTARILLADO</t>
  </si>
  <si>
    <t xml:space="preserve">Suministro e Instalación Tubería Pvc Corrugada 250 m.m. (10") para Alcantarillado   Unión caucho (Según Norma NTC 3722 Y NTC5055)          </t>
  </si>
  <si>
    <t xml:space="preserve"> Instalación Tubería PVC Corrugada 450 m.m. (18") para Alcantarillado    Unión caucho (Según Norma NTC 3722 Y NTC5055)     </t>
  </si>
  <si>
    <t>Tubería Pvc Novafort  o similar 110 m.m. (4")</t>
  </si>
  <si>
    <t>Tubería Pvc Novafort o similar 160 m.m. (6")</t>
  </si>
  <si>
    <t>Tubería Pvc Novafort o similar 200 m.m. (8")</t>
  </si>
  <si>
    <t>Tubería Pvc Novafort o similar 250 m.m. (10")</t>
  </si>
  <si>
    <t>Adhesivo Novafort o similar</t>
  </si>
  <si>
    <t>Tubería Pvc Novafort o similar 315 m.m. (12")</t>
  </si>
  <si>
    <t>Tubería Pvc Novafort o similar 355 m.m. (14")</t>
  </si>
  <si>
    <t>Tubería Pvc Novafort o similar 400 m.m. (16")</t>
  </si>
  <si>
    <t>Tubería Pvc Novafort o similar 450 m.m. (18")</t>
  </si>
  <si>
    <t>Tubería Pvc Novafort o similar 500 m.m. (20")</t>
  </si>
  <si>
    <t>Tubería Pvc Novafort o similar 600 m.m. (24")</t>
  </si>
  <si>
    <t xml:space="preserve">Suministro e Instalación Tubería PVC Corrugada DE 625 m.m. (24") para Alcantarillado Unión caucho (Según Norma NTC 3722 Y NTC5055)       </t>
  </si>
  <si>
    <t xml:space="preserve">Suministro e Instalación Tubería PVC Corrugada DE 710 m.m. (27") para Alcantarillado. Unión caucho (Según Norma NTC 3722 Y NTC5055)     </t>
  </si>
  <si>
    <t>Tubería Pvc Novaloc o similar 27"</t>
  </si>
  <si>
    <t>Tubería Pvc Novaloc  o similar 24"</t>
  </si>
  <si>
    <t>Tubería Pvc Novaloc o similar 36"</t>
  </si>
  <si>
    <t xml:space="preserve">Suministro e Instalación Tubería PVC Corrugada 900 m.m. (36") para Alcantarillado. Unión caucho (Según Norma NTC 3722 Y NTC5055)     </t>
  </si>
  <si>
    <t>OTROS</t>
  </si>
  <si>
    <t>Implementación Plan Social</t>
  </si>
  <si>
    <t>Implementación programa de seguridad industrial, seguridad ocupacional y manejo ambiental</t>
  </si>
  <si>
    <t>mes</t>
  </si>
  <si>
    <t>Señalización obra, pasos peatonales, techos, etc.</t>
  </si>
  <si>
    <t>Retenciones</t>
  </si>
  <si>
    <t>Impuesto transacción (4*1000)</t>
  </si>
  <si>
    <t>Profesional Gestion Social (Con Prestac. Sociales)</t>
  </si>
  <si>
    <t>Técnico/profesional SISOMA</t>
  </si>
  <si>
    <t>TECNICO/PROFESIONAL SISOMA</t>
  </si>
  <si>
    <t>SMMLV AÑO 2016</t>
  </si>
  <si>
    <t>MENSAJERO/SECRETARIA</t>
  </si>
  <si>
    <t>Concreto  Clase IA (Mr 45)</t>
  </si>
  <si>
    <t>Concreto Clase IB (Mr 42)</t>
  </si>
  <si>
    <t>Concreto Clase I (28 Mpa)</t>
  </si>
  <si>
    <t>Concreto Clase II (21 Mpa)</t>
  </si>
  <si>
    <t>14.4.1</t>
  </si>
  <si>
    <t>Concreto Clase III (17,5 Mpa)</t>
  </si>
  <si>
    <t xml:space="preserve">Cargue y evacuación de escombros y sobrantes en Vehículo Automotor, hasta cualquier distancia.                 </t>
  </si>
  <si>
    <t>Silla Yee 36" x 160"</t>
  </si>
  <si>
    <t>% Administración</t>
  </si>
  <si>
    <t>% Imprevistos</t>
  </si>
  <si>
    <t>% Utilidad</t>
  </si>
  <si>
    <t>Inicio</t>
  </si>
  <si>
    <t>Final</t>
  </si>
  <si>
    <t>Tramo</t>
  </si>
  <si>
    <t>Id Cámaras</t>
  </si>
  <si>
    <t>Diametro (in)</t>
  </si>
  <si>
    <t>Long (m)</t>
  </si>
  <si>
    <t>Ancho Zanja (m)</t>
  </si>
  <si>
    <t>Tipo rasante</t>
  </si>
  <si>
    <t>Cotas (m.s.n.m)</t>
  </si>
  <si>
    <t>Altura Inicial (m)</t>
  </si>
  <si>
    <t>Altura Final (m)</t>
  </si>
  <si>
    <t>h promedio (m)</t>
  </si>
  <si>
    <t>Volumen Exc m3</t>
  </si>
  <si>
    <t>Entibado Tipo 2 (m2)</t>
  </si>
  <si>
    <t>Metros de Cámaras de diametro D=1.20 m (m)</t>
  </si>
  <si>
    <t>Exc cámaras D=120 m (m)</t>
  </si>
  <si>
    <t>Volumen tubería (m3)</t>
  </si>
  <si>
    <t>Volumen de Arena (m3) e=0.15</t>
  </si>
  <si>
    <t>Demolición Pavimento e=0.18m (m3)</t>
  </si>
  <si>
    <t>Rellenos (m3)</t>
  </si>
  <si>
    <t>Evacuación (m3)</t>
  </si>
  <si>
    <t>Número de Domiciliarias</t>
  </si>
  <si>
    <t>Excavación Domiciliarias (m3)</t>
  </si>
  <si>
    <t>Demolición Pav Domiciliarias (m3)</t>
  </si>
  <si>
    <t>Demolición Andenes (m3)</t>
  </si>
  <si>
    <t>Tapas HF circulares D=0.6m</t>
  </si>
  <si>
    <t>Número de Cortes Transversales</t>
  </si>
  <si>
    <t>Longitud Cortes Transversales (m)</t>
  </si>
  <si>
    <t>Longitud Cortes Longitudinales (m)</t>
  </si>
  <si>
    <t>Kg Varilla 5/8, L=0.3m</t>
  </si>
  <si>
    <t>Kg Varilla 3/4</t>
  </si>
  <si>
    <t xml:space="preserve">Terreno </t>
  </si>
  <si>
    <t>Pavimento</t>
  </si>
  <si>
    <t>TIPO 2</t>
  </si>
  <si>
    <t>Totales</t>
  </si>
  <si>
    <t>Ф</t>
  </si>
  <si>
    <t>Z (m)</t>
  </si>
  <si>
    <t xml:space="preserve">Tubería </t>
  </si>
  <si>
    <t>Excavación Principal (m3)</t>
  </si>
  <si>
    <t>Total (m3)</t>
  </si>
  <si>
    <t>Retiros Principal m3</t>
  </si>
  <si>
    <t>Pav+Anden+Afirmado Pav + Afirmado Anden +Arena+ Vol tubo + Recubrimiento + Vol cajas</t>
  </si>
  <si>
    <t>Afirmados (m3)</t>
  </si>
  <si>
    <t>Pavimento (m3)</t>
  </si>
  <si>
    <t>Anden (m3)</t>
  </si>
  <si>
    <t>Arena (m3)</t>
  </si>
  <si>
    <t>Vol Tubería (m3)</t>
  </si>
  <si>
    <t>Vol Cajas (m3)</t>
  </si>
  <si>
    <t>Llenos m3</t>
  </si>
  <si>
    <t>Exc - (Afirm+Pav+Anden+Arena+Vol tubo + Recubr+Cajas +Arena)</t>
  </si>
  <si>
    <t>Material seleccionado Prov excavacion</t>
  </si>
  <si>
    <t>Entibado Tipo II m2</t>
  </si>
  <si>
    <t>h (2-4 m)</t>
  </si>
  <si>
    <t>h (0-2 m)</t>
  </si>
  <si>
    <t>Vol Exc 0-2 m</t>
  </si>
  <si>
    <t>Vol Exc 2-4 m</t>
  </si>
  <si>
    <t>Excavaciones 0-2 m (princ + dom)</t>
  </si>
  <si>
    <t>Excavaciones 2-4 m (princ + dom)</t>
  </si>
  <si>
    <t>Escombros y sobrantes</t>
  </si>
  <si>
    <t>Demolición pavimento</t>
  </si>
  <si>
    <t>Demolición andenes</t>
  </si>
  <si>
    <t>Demolición cámaras</t>
  </si>
  <si>
    <t>Vólumen tuberías</t>
  </si>
  <si>
    <t>Llenos con material de obra</t>
  </si>
  <si>
    <t>Sumidero</t>
  </si>
  <si>
    <t>Longitud Cámaras</t>
  </si>
  <si>
    <t>Unidades Cámaras</t>
  </si>
  <si>
    <t>Cámaras domiciliarias</t>
  </si>
  <si>
    <t>CONSOLIDACIÓN CANTIDADES ACUEDUCTO Y ALANTARILLADO</t>
  </si>
  <si>
    <t>Volumen de Sub-base (m3) e=0.25</t>
  </si>
  <si>
    <t>Sub-base</t>
  </si>
  <si>
    <t xml:space="preserve">Suministro e Instalación Tubería Pvc Corrugada 315 m.m. (12") para Alcantarillado   Unión caucho (Según Norma NTC 3722 Y NTC5055)          </t>
  </si>
  <si>
    <t>6.2.4</t>
  </si>
  <si>
    <t xml:space="preserve">Suministro e instalación Kit Silla Y - Empalme para Pvc Corrugada de 250 x 160 m.m. (Suministro/Instalación)                       </t>
  </si>
  <si>
    <t xml:space="preserve">Suministro e instalación Kit Silla Y - Empalme para Pvc Corrugada de 315 mm x 160 m.m. (Suministro/Instalación)                                         </t>
  </si>
  <si>
    <t>Suministro, transporte e instalación Entibado continuo en madera Tipo 2</t>
  </si>
  <si>
    <t>M</t>
  </si>
  <si>
    <t xml:space="preserve"> Demolición en Concreto Hidráulico (CILINDROS CÁMARAS)        .</t>
  </si>
  <si>
    <t>2.2.1.2</t>
  </si>
  <si>
    <t xml:space="preserve"> Demolición en Concreto Hidráulico (BASES Y CAÑUELAS CÁMARAS)        .</t>
  </si>
  <si>
    <t>Acero</t>
  </si>
  <si>
    <t>6.4.4</t>
  </si>
  <si>
    <t>6.4.1</t>
  </si>
  <si>
    <t>4.3.3</t>
  </si>
  <si>
    <t>ESPECIFICACIÓN</t>
  </si>
  <si>
    <t>SEGUIMIENTO MVCT</t>
  </si>
  <si>
    <t>Vr Equipos y MO</t>
  </si>
  <si>
    <t xml:space="preserve">INTERVENTORIA </t>
  </si>
  <si>
    <t>66 - 67</t>
  </si>
  <si>
    <t>66 - 63</t>
  </si>
  <si>
    <t>60 - 59</t>
  </si>
  <si>
    <t>59 - 49</t>
  </si>
  <si>
    <t>57 - 58</t>
  </si>
  <si>
    <t>57 - 51</t>
  </si>
  <si>
    <t>51 - 50</t>
  </si>
  <si>
    <t>52 - 51</t>
  </si>
  <si>
    <t>38 - 38A</t>
  </si>
  <si>
    <t>38A - 34</t>
  </si>
  <si>
    <t>35A - 28</t>
  </si>
  <si>
    <t>28 - 25</t>
  </si>
  <si>
    <t>32A - 31</t>
  </si>
  <si>
    <t>31 - 25</t>
  </si>
  <si>
    <t>25 - 25A</t>
  </si>
  <si>
    <t>25A -25B</t>
  </si>
  <si>
    <t>Cra 5 Cll15 - Via a Dorada</t>
  </si>
  <si>
    <t>25 - 24</t>
  </si>
  <si>
    <t>90 - 91</t>
  </si>
  <si>
    <t>91 - 92</t>
  </si>
  <si>
    <t>92 - 60G</t>
  </si>
  <si>
    <t>60G - 60F</t>
  </si>
  <si>
    <t>60F - 60E</t>
  </si>
  <si>
    <t>60E - 60D</t>
  </si>
  <si>
    <t>60D - 60C</t>
  </si>
  <si>
    <t>60C - 87F</t>
  </si>
  <si>
    <t>87F - 60A</t>
  </si>
  <si>
    <t>47 - 48</t>
  </si>
  <si>
    <t>45A - 45</t>
  </si>
  <si>
    <t>45A - 46</t>
  </si>
  <si>
    <t>61 - 58</t>
  </si>
  <si>
    <t>48 - 36</t>
  </si>
  <si>
    <t>A - B</t>
  </si>
  <si>
    <t>C  -D</t>
  </si>
  <si>
    <t>Destapada</t>
  </si>
  <si>
    <t>25B - 25C</t>
  </si>
  <si>
    <t>25C - Aliv</t>
  </si>
  <si>
    <t>Aliv - 26</t>
  </si>
  <si>
    <t>Aliv - 27</t>
  </si>
  <si>
    <t>27 - D3</t>
  </si>
  <si>
    <t>Cra 6 entre calle 8 y 9</t>
  </si>
  <si>
    <t>Andén</t>
  </si>
  <si>
    <t>M4 - M9</t>
  </si>
  <si>
    <t>M1 - M3</t>
  </si>
  <si>
    <t>Diametro (mm)</t>
  </si>
  <si>
    <t>Sub-base e=0.15m Acometida (m3)</t>
  </si>
  <si>
    <t>Arena e=0.05m Acometida (m3)</t>
  </si>
  <si>
    <t xml:space="preserve">Empalmes </t>
  </si>
  <si>
    <t>10 x 6</t>
  </si>
  <si>
    <t>12 x 6</t>
  </si>
  <si>
    <t>14 x 6</t>
  </si>
  <si>
    <t>18 x 6</t>
  </si>
  <si>
    <t xml:space="preserve">Suministro e Instalación Tubería Pvc Corrugada 355 m.m. (14") para Alcantarillado   Unión caucho (Según Norma NTC 3722 Y NTC5055)          </t>
  </si>
  <si>
    <t>6.2.5</t>
  </si>
  <si>
    <t xml:space="preserve">Acero de refuerzo de 1/2" y 1 1/$" de 420 Mpa </t>
  </si>
  <si>
    <t>CLL 7 entre Cras 4 y 5</t>
  </si>
  <si>
    <t>Cll 9 entre Cra 5 - 6</t>
  </si>
  <si>
    <t>Cra 5 cll9 - cll10</t>
  </si>
  <si>
    <t>Cll 10 entre Cra 4 - 5</t>
  </si>
  <si>
    <t>Cra 5 entre clls 12 y 13</t>
  </si>
  <si>
    <t>Cra 4 Entre Cll 14 y 15</t>
  </si>
  <si>
    <t xml:space="preserve">Empalme para Pvc Corrugada de 250mm x 160 m.m. (Suministro/Instalación)                                         </t>
  </si>
  <si>
    <t xml:space="preserve">Empalme para Pvc Corrugada de 315" x 160 m.m. (Suministro/Instalación)                                         </t>
  </si>
  <si>
    <t xml:space="preserve">Empalme para Pvc Corrugada de 355  mm  x 160 m.m. (Suministro/Instalación)                                         </t>
  </si>
  <si>
    <t>EMPALMES</t>
  </si>
  <si>
    <t xml:space="preserve">Suministro e instalación Kit Silla Y - Empalme para Pvc Corrugada de 355 x 160 m.m. (Suministro/Instalación)                                         </t>
  </si>
  <si>
    <t>Suministro, Transporte e Instalación Caja para aliviadero en concreto reforzado de 21 Mpa (3.35m x1.6 m *2.15m y un espesor de 0.15m para muros y losa)</t>
  </si>
  <si>
    <t>6.4.6</t>
  </si>
  <si>
    <t>CRONOGRAMA Y FLUJO DE INVERSIONES</t>
  </si>
  <si>
    <t>SEMANAS</t>
  </si>
  <si>
    <t>Transporte terrestre de materiales para ejecución de obra incluye disposición final en cualquier tipo vía</t>
  </si>
  <si>
    <t xml:space="preserve">Suministros, Transporte e Instalacion Rellenos Compactados con Material Común de Cantera de Préstamo               </t>
  </si>
  <si>
    <t>Suministros, Transporte e Instalacion Rellenos Compactados con Afirmado (Tipo El Faro)</t>
  </si>
  <si>
    <t xml:space="preserve">Suministros, Transporte e Instalacion Relleno arena gruesa limpia para tubería </t>
  </si>
  <si>
    <t xml:space="preserve">Suministros, Transporte e Instalacion Rellenos Compactados con Materia seleccionado proveniente de la excavacion         </t>
  </si>
  <si>
    <t>Suministros, Transporte e Instalacion Subbase p/Pavimentos en Material Granular Seleccionado compactado (e=0.25 m)</t>
  </si>
  <si>
    <t>COSTO DIRECTO + AIU</t>
  </si>
  <si>
    <t>INTERVENTORIA</t>
  </si>
  <si>
    <t>SEGUIMIENTO</t>
  </si>
  <si>
    <t>CANTIDADES DE OBRA MEJORAMIENTO REDES DE ALCANTARILLADO MUNICIPIO DE VICTORIA</t>
  </si>
  <si>
    <t>PRESUPUESTO  OBRAS DE MEJORAMIENTO  ALCANTARILLADO EN LA ZONA URBANA EN EL MUNICIPIO DE LA VICTORIA CALDAS</t>
  </si>
  <si>
    <t>PRESUPUESTO  OBRAS DE MEJORAMIENTO ALCANTARILLADO EN LA ZONA URBANA EN EL MUNICIPIO DE LA VICTORIA CALDAS</t>
  </si>
  <si>
    <t xml:space="preserve"> Excavación en Zanja - Manual - Cualquier material (seco/húmedo)- 0.0 a 2.0 m        </t>
  </si>
  <si>
    <t>4.1.1.3</t>
  </si>
  <si>
    <t>Retroexcavadora de Llantas</t>
  </si>
  <si>
    <t xml:space="preserve"> Excavación en Zanja - Mecánica - Cualquier material (seco - húmedo) 0 - 6 m                               </t>
  </si>
  <si>
    <t xml:space="preserve"> Excavación en Zanja - Manual - Cualquier material (seco - húmedo) 2,01 - a 4,00 m                                         </t>
  </si>
  <si>
    <t xml:space="preserve"> Demolición pavimento en Concreto Hidráulico         </t>
  </si>
  <si>
    <t>OC Y SUM</t>
  </si>
  <si>
    <t>INT</t>
  </si>
  <si>
    <t>MVCT</t>
  </si>
  <si>
    <t>PGN 2016</t>
  </si>
  <si>
    <t>PGN 2017</t>
  </si>
  <si>
    <t>VALOR MINIMO DEL VALOR UNITARIO</t>
  </si>
  <si>
    <t>VALOR MAXIMO DEL VALOR UNITARIO</t>
  </si>
  <si>
    <t>TOTAL COSTO DIRECTO OBRA CIVIL</t>
  </si>
  <si>
    <t>AIU</t>
  </si>
  <si>
    <t>(IVA SOBRE LA UTILIDAD DEL 19%)</t>
  </si>
  <si>
    <t>TOTAL PRESUPUESTO ESTIMADO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</si>
</sst>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8">
    <numFmt numFmtId="43" formatCode="_-* #,##0.00_-;\-* #,##0.00_-;_-* &quot;-&quot;??_-;_-@_-"/>
    <numFmt numFmtId="164" formatCode="_(* #,##0_);_(* \(#,##0\);_(* &quot;-&quot;_);_(@_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-* #,##0\ &quot;€&quot;_-;\-* #,##0\ &quot;€&quot;_-;_-* &quot;-&quot;\ &quot;€&quot;_-;_-@_-"/>
    <numFmt numFmtId="168" formatCode="_-* #,##0.00\ &quot;€&quot;_-;\-* #,##0.00\ &quot;€&quot;_-;_-* &quot;-&quot;??\ &quot;€&quot;_-;_-@_-"/>
    <numFmt numFmtId="169" formatCode="_-* #,##0.00\ _€_-;\-* #,##0.00\ _€_-;_-* &quot;-&quot;??\ _€_-;_-@_-"/>
    <numFmt numFmtId="170" formatCode="_(&quot;$&quot;* #,##0_);_(&quot;$&quot;* \(#,##0\);_(&quot;$&quot;* &quot;-&quot;_);_(@_)"/>
    <numFmt numFmtId="171" formatCode="_ &quot;$&quot;\ * #,##0.00_ ;_ &quot;$&quot;\ * \-#,##0.00_ ;_ &quot;$&quot;\ * &quot;-&quot;??_ ;_ @_ "/>
    <numFmt numFmtId="172" formatCode="_ * #,##0.00_ ;_ * \-#,##0.00_ ;_ * &quot;-&quot;??_ ;_ @_ "/>
    <numFmt numFmtId="173" formatCode="_ [$$-240A]\ * #,##0_ ;_ [$$-240A]\ * \-#,##0_ ;_ [$$-240A]\ * &quot;-&quot;_ ;_ @_ "/>
    <numFmt numFmtId="174" formatCode="#,##0.0000"/>
    <numFmt numFmtId="175" formatCode="#,##0.000"/>
    <numFmt numFmtId="176" formatCode="_ [$$-2C0A]\ * #,##0_ ;_ [$$-2C0A]\ * \-#,##0_ ;_ [$$-2C0A]\ * &quot;-&quot;_ ;_ @_ "/>
    <numFmt numFmtId="177" formatCode="_ [$$-2C0A]\ * #,##0.00_ ;_ [$$-2C0A]\ * \-#,##0.00_ ;_ [$$-2C0A]\ * &quot;-&quot;??_ ;_ @_ "/>
    <numFmt numFmtId="178" formatCode="#,##0.00_ ;\-#,##0.00\ "/>
    <numFmt numFmtId="179" formatCode="[$$-2C0A]\ #,##0.00"/>
    <numFmt numFmtId="180" formatCode="#,##0_ ;\-#,##0\ "/>
    <numFmt numFmtId="181" formatCode="[$$-240A]\ #,##0"/>
    <numFmt numFmtId="182" formatCode="0.000%"/>
    <numFmt numFmtId="183" formatCode="[$$-240A]\ #,##0.00;[$$-240A]\ \-#,##0.00"/>
    <numFmt numFmtId="184" formatCode="0.00000000000"/>
    <numFmt numFmtId="185" formatCode="0.000"/>
    <numFmt numFmtId="186" formatCode="[$$-240A]\ #,##0.00_ ;\-[$$-240A]\ #,##0.00\ "/>
    <numFmt numFmtId="187" formatCode="0.0000"/>
    <numFmt numFmtId="188" formatCode="&quot;$&quot;\ #,##0.00"/>
    <numFmt numFmtId="189" formatCode="0\ &quot;in&quot;"/>
    <numFmt numFmtId="190" formatCode="_ [$$-2C0A]\ * #,##0.0000_ ;_ [$$-2C0A]\ * \-#,##0.0000_ ;_ [$$-2C0A]\ * &quot;-&quot;????_ ;_ @_ "/>
    <numFmt numFmtId="191" formatCode="_(&quot;$&quot;\ * #,##0.0000000000_);_(&quot;$&quot;\ * \(#,##0.0000000000\);_(&quot;$&quot;\ * &quot;-&quot;??_);_(@_)"/>
    <numFmt numFmtId="192" formatCode="_ &quot;$&quot;\ * #,##0_ ;_ &quot;$&quot;\ * \-#,##0_ ;_ &quot;$&quot;\ * &quot;-&quot;??_ ;_ @_ "/>
    <numFmt numFmtId="193" formatCode="_ &quot;$&quot;\ * #,##0.000_ ;_ &quot;$&quot;\ * \-#,##0.000_ ;_ &quot;$&quot;\ * &quot;-&quot;??_ ;_ @_ "/>
    <numFmt numFmtId="194" formatCode="[$$-240A]\ #,##0;[$$-240A]\ \-#,##0"/>
    <numFmt numFmtId="195" formatCode="_-* #,##0\ _€_-;\-* #,##0\ _€_-;_-* &quot;-&quot;??\ _€_-;_-@_-"/>
    <numFmt numFmtId="196" formatCode="0.0"/>
    <numFmt numFmtId="197" formatCode="_ &quot;$&quot;\ * #,##0_ ;_ &quot;$&quot;\ * \-#,##0_ ;_ &quot;$&quot;\ * &quot;-&quot;_ ;_ @_ "/>
    <numFmt numFmtId="198" formatCode="_ &quot;$&quot;\ * #,##0.000_ ;_ &quot;$&quot;\ * \-#,##0.000_ ;_ &quot;$&quot;\ * &quot;-&quot;_ ;_ @_ "/>
    <numFmt numFmtId="199" formatCode="_-* #,##0.0\ _€_-;\-* #,##0.0\ _€_-;_-* &quot;-&quot;??\ _€_-;_-@_-"/>
    <numFmt numFmtId="200" formatCode="_([$$-240A]\ * #,##0.00_);_([$$-240A]\ * \(#,##0.00\);_([$$-240A]\ * &quot;-&quot;??_);_(@_)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1"/>
      <name val="Tahoma"/>
      <family val="2"/>
    </font>
    <font>
      <b/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12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1"/>
      <color rgb="FFFFFF0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rgb="FFFFFF00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FFFF00"/>
      <name val="Calibri"/>
      <family val="2"/>
      <scheme val="minor"/>
    </font>
    <font>
      <strike/>
      <sz val="10"/>
      <name val="Arial"/>
      <family val="2"/>
    </font>
    <font>
      <sz val="10"/>
      <color rgb="FFCC00CC"/>
      <name val="Arial"/>
      <family val="2"/>
    </font>
    <font>
      <b/>
      <sz val="16"/>
      <color theme="0"/>
      <name val="Arial"/>
      <family val="2"/>
    </font>
    <font>
      <b/>
      <sz val="11"/>
      <color theme="1"/>
      <name val="Arial Narrow"/>
      <family val="2"/>
    </font>
    <font>
      <b/>
      <sz val="11"/>
      <color theme="0"/>
      <name val="Arial Narrow"/>
      <family val="2"/>
    </font>
    <font>
      <b/>
      <sz val="11"/>
      <color rgb="FFFFFF00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indexed="9"/>
      <name val="Arial Narrow"/>
      <family val="2"/>
    </font>
    <font>
      <sz val="11"/>
      <color rgb="FFFF0000"/>
      <name val="Arial Narrow"/>
      <family val="2"/>
    </font>
    <font>
      <strike/>
      <sz val="11"/>
      <color theme="1"/>
      <name val="Arial Narrow"/>
      <family val="2"/>
    </font>
    <font>
      <sz val="10"/>
      <name val="Arial Narrow"/>
      <family val="2"/>
    </font>
    <font>
      <sz val="11"/>
      <color rgb="FFCC00CC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  <font>
      <sz val="12"/>
      <color theme="9" tint="-0.249977111117893"/>
      <name val="Arial Narrow"/>
      <family val="2"/>
    </font>
    <font>
      <sz val="12"/>
      <name val="Arial"/>
      <family val="2"/>
    </font>
    <font>
      <b/>
      <sz val="12"/>
      <color theme="0"/>
      <name val="Calibri"/>
      <family val="2"/>
    </font>
    <font>
      <b/>
      <sz val="12"/>
      <color theme="0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color rgb="FFFF0000"/>
      <name val="Arial"/>
      <family val="2"/>
    </font>
    <font>
      <sz val="10"/>
      <color theme="0"/>
      <name val="Arial"/>
      <family val="2"/>
    </font>
    <font>
      <b/>
      <sz val="11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0"/>
      <color theme="0"/>
      <name val="Arial"/>
      <family val="2"/>
    </font>
    <font>
      <b/>
      <sz val="36"/>
      <name val="Arial"/>
      <family val="2"/>
    </font>
  </fonts>
  <fills count="7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2A2A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1C7490"/>
        <bgColor indexed="64"/>
      </patternFill>
    </fill>
    <fill>
      <patternFill patternType="solid">
        <fgColor rgb="FF3AC808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8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10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168" fontId="21" fillId="0" borderId="0" applyFont="0" applyFill="0" applyBorder="0" applyAlignment="0" applyProtection="0"/>
    <xf numFmtId="0" fontId="19" fillId="3" borderId="0" applyNumberFormat="0" applyBorder="0" applyAlignment="0" applyProtection="0"/>
    <xf numFmtId="172" fontId="10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90" fontId="21" fillId="0" borderId="0" applyFont="0" applyFill="0" applyBorder="0" applyAlignment="0" applyProtection="0"/>
    <xf numFmtId="171" fontId="10" fillId="0" borderId="0" applyFont="0" applyFill="0" applyBorder="0" applyAlignment="0" applyProtection="0"/>
    <xf numFmtId="188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0" fillId="22" borderId="0" applyNumberFormat="0" applyBorder="0" applyAlignment="0" applyProtection="0"/>
    <xf numFmtId="0" fontId="21" fillId="0" borderId="0"/>
    <xf numFmtId="0" fontId="4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23" borderId="4" applyNumberFormat="0" applyFont="0" applyAlignment="0" applyProtection="0"/>
    <xf numFmtId="9" fontId="1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16" borderId="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17" fillId="0" borderId="8" applyNumberFormat="0" applyFill="0" applyAlignment="0" applyProtection="0"/>
    <xf numFmtId="0" fontId="28" fillId="0" borderId="9" applyNumberFormat="0" applyFill="0" applyAlignment="0" applyProtection="0"/>
    <xf numFmtId="0" fontId="9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10" fillId="0" borderId="0"/>
    <xf numFmtId="9" fontId="7" fillId="0" borderId="0" applyFont="0" applyFill="0" applyBorder="0" applyAlignment="0" applyProtection="0"/>
    <xf numFmtId="0" fontId="7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9" fillId="3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2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1" applyNumberFormat="0" applyAlignment="0" applyProtection="0"/>
    <xf numFmtId="0" fontId="16" fillId="0" borderId="3" applyNumberFormat="0" applyFill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23" borderId="4" applyNumberFormat="0" applyFont="0" applyAlignment="0" applyProtection="0"/>
    <xf numFmtId="0" fontId="22" fillId="16" borderId="5" applyNumberFormat="0" applyAlignment="0" applyProtection="0"/>
    <xf numFmtId="9" fontId="10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/>
    <xf numFmtId="0" fontId="4" fillId="0" borderId="0"/>
    <xf numFmtId="0" fontId="1" fillId="0" borderId="0"/>
  </cellStyleXfs>
  <cellXfs count="2001">
    <xf numFmtId="0" fontId="0" fillId="0" borderId="0" xfId="0"/>
    <xf numFmtId="0" fontId="0" fillId="0" borderId="10" xfId="0" applyBorder="1" applyProtection="1"/>
    <xf numFmtId="0" fontId="0" fillId="0" borderId="0" xfId="0" applyBorder="1"/>
    <xf numFmtId="0" fontId="0" fillId="0" borderId="11" xfId="0" applyBorder="1"/>
    <xf numFmtId="0" fontId="0" fillId="0" borderId="0" xfId="0" applyBorder="1" applyAlignment="1">
      <alignment horizontal="center"/>
    </xf>
    <xf numFmtId="4" fontId="0" fillId="0" borderId="11" xfId="0" applyNumberFormat="1" applyBorder="1" applyProtection="1"/>
    <xf numFmtId="176" fontId="0" fillId="0" borderId="0" xfId="0" applyNumberFormat="1" applyBorder="1" applyProtection="1">
      <protection locked="0"/>
    </xf>
    <xf numFmtId="176" fontId="0" fillId="0" borderId="11" xfId="0" applyNumberFormat="1" applyBorder="1"/>
    <xf numFmtId="0" fontId="0" fillId="0" borderId="11" xfId="0" applyBorder="1" applyAlignment="1">
      <alignment horizontal="center"/>
    </xf>
    <xf numFmtId="176" fontId="0" fillId="0" borderId="11" xfId="0" applyNumberFormat="1" applyBorder="1" applyProtection="1">
      <protection locked="0"/>
    </xf>
    <xf numFmtId="0" fontId="30" fillId="0" borderId="12" xfId="0" applyFont="1" applyBorder="1" applyAlignment="1">
      <alignment horizontal="center"/>
    </xf>
    <xf numFmtId="4" fontId="0" fillId="0" borderId="13" xfId="0" applyNumberFormat="1" applyBorder="1"/>
    <xf numFmtId="176" fontId="0" fillId="0" borderId="14" xfId="0" applyNumberFormat="1" applyBorder="1"/>
    <xf numFmtId="176" fontId="30" fillId="0" borderId="13" xfId="0" applyNumberFormat="1" applyFont="1" applyBorder="1"/>
    <xf numFmtId="0" fontId="0" fillId="0" borderId="15" xfId="0" applyBorder="1" applyAlignment="1">
      <alignment horizontal="center"/>
    </xf>
    <xf numFmtId="0" fontId="0" fillId="0" borderId="15" xfId="0" applyBorder="1"/>
    <xf numFmtId="176" fontId="0" fillId="0" borderId="0" xfId="0" applyNumberFormat="1" applyBorder="1"/>
    <xf numFmtId="4" fontId="0" fillId="0" borderId="13" xfId="0" applyNumberFormat="1" applyBorder="1" applyAlignment="1">
      <alignment horizontal="center"/>
    </xf>
    <xf numFmtId="176" fontId="0" fillId="0" borderId="14" xfId="0" applyNumberFormat="1" applyBorder="1" applyAlignment="1">
      <alignment horizontal="center"/>
    </xf>
    <xf numFmtId="176" fontId="30" fillId="0" borderId="13" xfId="0" applyNumberFormat="1" applyFont="1" applyBorder="1" applyAlignment="1">
      <alignment horizontal="center"/>
    </xf>
    <xf numFmtId="0" fontId="30" fillId="0" borderId="0" xfId="0" applyFont="1" applyBorder="1"/>
    <xf numFmtId="0" fontId="30" fillId="0" borderId="0" xfId="0" applyFont="1" applyBorder="1" applyAlignment="1">
      <alignment horizontal="center"/>
    </xf>
    <xf numFmtId="4" fontId="0" fillId="0" borderId="0" xfId="0" applyNumberFormat="1" applyBorder="1"/>
    <xf numFmtId="176" fontId="30" fillId="0" borderId="0" xfId="0" applyNumberFormat="1" applyFont="1" applyBorder="1"/>
    <xf numFmtId="172" fontId="10" fillId="0" borderId="0" xfId="33" applyFont="1"/>
    <xf numFmtId="0" fontId="0" fillId="0" borderId="16" xfId="0" applyBorder="1"/>
    <xf numFmtId="0" fontId="0" fillId="0" borderId="17" xfId="0" applyBorder="1" applyAlignment="1">
      <alignment horizontal="center"/>
    </xf>
    <xf numFmtId="4" fontId="0" fillId="0" borderId="16" xfId="0" applyNumberFormat="1" applyBorder="1"/>
    <xf numFmtId="176" fontId="0" fillId="0" borderId="17" xfId="0" applyNumberFormat="1" applyBorder="1"/>
    <xf numFmtId="176" fontId="0" fillId="0" borderId="16" xfId="0" applyNumberFormat="1" applyBorder="1"/>
    <xf numFmtId="4" fontId="0" fillId="0" borderId="11" xfId="0" applyNumberFormat="1" applyBorder="1"/>
    <xf numFmtId="0" fontId="0" fillId="0" borderId="13" xfId="0" applyBorder="1"/>
    <xf numFmtId="0" fontId="0" fillId="0" borderId="14" xfId="0" applyBorder="1" applyAlignment="1">
      <alignment horizontal="center"/>
    </xf>
    <xf numFmtId="176" fontId="0" fillId="0" borderId="13" xfId="0" applyNumberFormat="1" applyBorder="1"/>
    <xf numFmtId="0" fontId="30" fillId="0" borderId="18" xfId="0" applyFont="1" applyBorder="1"/>
    <xf numFmtId="0" fontId="0" fillId="0" borderId="19" xfId="0" applyBorder="1"/>
    <xf numFmtId="176" fontId="0" fillId="0" borderId="19" xfId="0" applyNumberFormat="1" applyBorder="1"/>
    <xf numFmtId="176" fontId="30" fillId="0" borderId="18" xfId="0" applyNumberFormat="1" applyFont="1" applyBorder="1"/>
    <xf numFmtId="4" fontId="0" fillId="0" borderId="15" xfId="0" applyNumberFormat="1" applyBorder="1"/>
    <xf numFmtId="176" fontId="0" fillId="0" borderId="18" xfId="0" applyNumberFormat="1" applyBorder="1"/>
    <xf numFmtId="177" fontId="0" fillId="0" borderId="0" xfId="0" applyNumberFormat="1"/>
    <xf numFmtId="4" fontId="0" fillId="0" borderId="12" xfId="0" applyNumberFormat="1" applyBorder="1"/>
    <xf numFmtId="176" fontId="0" fillId="0" borderId="17" xfId="0" applyNumberFormat="1" applyBorder="1" applyProtection="1"/>
    <xf numFmtId="176" fontId="0" fillId="0" borderId="0" xfId="0" applyNumberFormat="1" applyBorder="1" applyProtection="1"/>
    <xf numFmtId="176" fontId="0" fillId="0" borderId="0" xfId="0" applyNumberFormat="1"/>
    <xf numFmtId="0" fontId="30" fillId="0" borderId="13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0" fillId="0" borderId="15" xfId="0" applyBorder="1" applyAlignment="1">
      <alignment horizontal="right"/>
    </xf>
    <xf numFmtId="0" fontId="0" fillId="0" borderId="12" xfId="0" applyBorder="1" applyAlignment="1">
      <alignment horizontal="right"/>
    </xf>
    <xf numFmtId="178" fontId="0" fillId="0" borderId="14" xfId="0" applyNumberFormat="1" applyBorder="1"/>
    <xf numFmtId="0" fontId="30" fillId="0" borderId="12" xfId="0" applyFont="1" applyBorder="1" applyAlignment="1">
      <alignment horizontal="right"/>
    </xf>
    <xf numFmtId="179" fontId="30" fillId="0" borderId="20" xfId="0" applyNumberFormat="1" applyFont="1" applyBorder="1"/>
    <xf numFmtId="0" fontId="31" fillId="0" borderId="12" xfId="0" applyFont="1" applyBorder="1"/>
    <xf numFmtId="0" fontId="0" fillId="0" borderId="14" xfId="0" applyBorder="1"/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30" fillId="0" borderId="22" xfId="0" applyFont="1" applyBorder="1" applyAlignment="1" applyProtection="1">
      <alignment horizontal="center"/>
      <protection locked="0"/>
    </xf>
    <xf numFmtId="0" fontId="30" fillId="0" borderId="23" xfId="0" applyFont="1" applyBorder="1" applyAlignment="1" applyProtection="1">
      <alignment horizontal="center"/>
      <protection locked="0"/>
    </xf>
    <xf numFmtId="0" fontId="30" fillId="0" borderId="24" xfId="0" applyFont="1" applyBorder="1" applyAlignment="1" applyProtection="1">
      <alignment horizontal="center"/>
      <protection locked="0"/>
    </xf>
    <xf numFmtId="0" fontId="0" fillId="0" borderId="25" xfId="0" applyBorder="1" applyProtection="1"/>
    <xf numFmtId="0" fontId="0" fillId="0" borderId="17" xfId="0" applyBorder="1" applyAlignment="1" applyProtection="1">
      <alignment horizontal="center"/>
    </xf>
    <xf numFmtId="4" fontId="0" fillId="0" borderId="16" xfId="0" applyNumberFormat="1" applyBorder="1" applyProtection="1"/>
    <xf numFmtId="180" fontId="0" fillId="0" borderId="17" xfId="0" applyNumberFormat="1" applyBorder="1" applyProtection="1">
      <protection locked="0"/>
    </xf>
    <xf numFmtId="176" fontId="0" fillId="0" borderId="26" xfId="0" applyNumberFormat="1" applyBorder="1" applyProtection="1">
      <protection locked="0"/>
    </xf>
    <xf numFmtId="0" fontId="0" fillId="0" borderId="0" xfId="0" applyBorder="1" applyAlignment="1" applyProtection="1">
      <alignment horizontal="center"/>
    </xf>
    <xf numFmtId="180" fontId="0" fillId="0" borderId="0" xfId="0" applyNumberFormat="1" applyBorder="1" applyProtection="1">
      <protection locked="0"/>
    </xf>
    <xf numFmtId="176" fontId="0" fillId="0" borderId="27" xfId="0" applyNumberFormat="1" applyBorder="1" applyProtection="1">
      <protection locked="0"/>
    </xf>
    <xf numFmtId="0" fontId="30" fillId="0" borderId="22" xfId="0" applyFont="1" applyBorder="1" applyProtection="1">
      <protection locked="0"/>
    </xf>
    <xf numFmtId="0" fontId="0" fillId="0" borderId="28" xfId="0" applyBorder="1" applyProtection="1">
      <protection locked="0"/>
    </xf>
    <xf numFmtId="176" fontId="0" fillId="0" borderId="28" xfId="0" applyNumberFormat="1" applyBorder="1" applyProtection="1">
      <protection locked="0"/>
    </xf>
    <xf numFmtId="176" fontId="30" fillId="0" borderId="24" xfId="0" applyNumberFormat="1" applyFont="1" applyBorder="1" applyProtection="1">
      <protection locked="0"/>
    </xf>
    <xf numFmtId="0" fontId="0" fillId="0" borderId="29" xfId="0" applyBorder="1" applyAlignment="1" applyProtection="1">
      <alignment horizontal="center"/>
    </xf>
    <xf numFmtId="4" fontId="0" fillId="0" borderId="29" xfId="0" applyNumberFormat="1" applyBorder="1" applyProtection="1"/>
    <xf numFmtId="180" fontId="0" fillId="0" borderId="30" xfId="0" applyNumberFormat="1" applyBorder="1" applyProtection="1">
      <protection locked="0"/>
    </xf>
    <xf numFmtId="176" fontId="0" fillId="0" borderId="31" xfId="0" applyNumberFormat="1" applyBorder="1" applyProtection="1">
      <protection locked="0"/>
    </xf>
    <xf numFmtId="0" fontId="0" fillId="0" borderId="15" xfId="0" applyBorder="1" applyAlignment="1" applyProtection="1">
      <alignment horizontal="center"/>
    </xf>
    <xf numFmtId="4" fontId="0" fillId="0" borderId="15" xfId="0" applyNumberFormat="1" applyBorder="1" applyProtection="1"/>
    <xf numFmtId="180" fontId="0" fillId="0" borderId="27" xfId="0" applyNumberFormat="1" applyBorder="1" applyProtection="1">
      <protection locked="0"/>
    </xf>
    <xf numFmtId="176" fontId="0" fillId="0" borderId="32" xfId="0" applyNumberFormat="1" applyBorder="1" applyProtection="1">
      <protection locked="0"/>
    </xf>
    <xf numFmtId="0" fontId="0" fillId="0" borderId="33" xfId="0" applyBorder="1" applyAlignment="1" applyProtection="1">
      <alignment horizontal="center"/>
    </xf>
    <xf numFmtId="4" fontId="0" fillId="0" borderId="33" xfId="0" applyNumberFormat="1" applyBorder="1" applyProtection="1"/>
    <xf numFmtId="180" fontId="0" fillId="0" borderId="34" xfId="0" applyNumberFormat="1" applyBorder="1" applyProtection="1">
      <protection locked="0"/>
    </xf>
    <xf numFmtId="0" fontId="0" fillId="0" borderId="25" xfId="0" applyBorder="1" applyProtection="1">
      <protection locked="0"/>
    </xf>
    <xf numFmtId="0" fontId="0" fillId="0" borderId="17" xfId="0" applyBorder="1" applyAlignment="1" applyProtection="1">
      <alignment horizontal="center"/>
      <protection locked="0"/>
    </xf>
    <xf numFmtId="4" fontId="0" fillId="0" borderId="16" xfId="0" applyNumberFormat="1" applyBorder="1" applyProtection="1">
      <protection locked="0"/>
    </xf>
    <xf numFmtId="0" fontId="0" fillId="0" borderId="10" xfId="0" applyBorder="1" applyProtection="1">
      <protection locked="0"/>
    </xf>
    <xf numFmtId="4" fontId="0" fillId="0" borderId="11" xfId="0" applyNumberFormat="1" applyBorder="1" applyProtection="1">
      <protection locked="0"/>
    </xf>
    <xf numFmtId="0" fontId="0" fillId="0" borderId="16" xfId="0" applyBorder="1" applyProtection="1"/>
    <xf numFmtId="176" fontId="0" fillId="0" borderId="16" xfId="0" applyNumberFormat="1" applyBorder="1" applyProtection="1">
      <protection locked="0"/>
    </xf>
    <xf numFmtId="0" fontId="0" fillId="0" borderId="35" xfId="0" applyBorder="1" applyProtection="1"/>
    <xf numFmtId="0" fontId="0" fillId="0" borderId="19" xfId="0" applyBorder="1" applyAlignment="1" applyProtection="1">
      <alignment horizontal="center"/>
    </xf>
    <xf numFmtId="4" fontId="0" fillId="0" borderId="18" xfId="0" applyNumberFormat="1" applyBorder="1" applyProtection="1"/>
    <xf numFmtId="180" fontId="0" fillId="0" borderId="19" xfId="0" applyNumberFormat="1" applyBorder="1" applyProtection="1">
      <protection locked="0"/>
    </xf>
    <xf numFmtId="176" fontId="0" fillId="0" borderId="36" xfId="0" applyNumberFormat="1" applyBorder="1" applyProtection="1">
      <protection locked="0"/>
    </xf>
    <xf numFmtId="0" fontId="30" fillId="0" borderId="37" xfId="0" applyFont="1" applyBorder="1" applyProtection="1">
      <protection locked="0"/>
    </xf>
    <xf numFmtId="0" fontId="0" fillId="0" borderId="38" xfId="0" applyBorder="1" applyProtection="1">
      <protection locked="0"/>
    </xf>
    <xf numFmtId="176" fontId="0" fillId="0" borderId="38" xfId="0" applyNumberFormat="1" applyBorder="1" applyProtection="1">
      <protection locked="0"/>
    </xf>
    <xf numFmtId="176" fontId="30" fillId="0" borderId="34" xfId="0" applyNumberFormat="1" applyFont="1" applyBorder="1" applyProtection="1">
      <protection locked="0"/>
    </xf>
    <xf numFmtId="0" fontId="0" fillId="24" borderId="10" xfId="0" applyFill="1" applyBorder="1" applyProtection="1"/>
    <xf numFmtId="0" fontId="0" fillId="24" borderId="0" xfId="0" applyFill="1" applyBorder="1" applyAlignment="1" applyProtection="1">
      <alignment horizontal="center"/>
    </xf>
    <xf numFmtId="4" fontId="0" fillId="24" borderId="11" xfId="0" applyNumberFormat="1" applyFill="1" applyBorder="1" applyProtection="1"/>
    <xf numFmtId="180" fontId="0" fillId="24" borderId="0" xfId="0" applyNumberFormat="1" applyFill="1" applyBorder="1" applyProtection="1">
      <protection locked="0"/>
    </xf>
    <xf numFmtId="176" fontId="0" fillId="24" borderId="27" xfId="0" applyNumberFormat="1" applyFill="1" applyBorder="1" applyProtection="1">
      <protection locked="0"/>
    </xf>
    <xf numFmtId="0" fontId="0" fillId="24" borderId="15" xfId="0" applyFill="1" applyBorder="1" applyAlignment="1" applyProtection="1">
      <alignment horizontal="center"/>
    </xf>
    <xf numFmtId="4" fontId="0" fillId="24" borderId="15" xfId="0" applyNumberFormat="1" applyFill="1" applyBorder="1" applyProtection="1"/>
    <xf numFmtId="180" fontId="0" fillId="24" borderId="27" xfId="0" applyNumberFormat="1" applyFill="1" applyBorder="1" applyProtection="1">
      <protection locked="0"/>
    </xf>
    <xf numFmtId="176" fontId="0" fillId="24" borderId="32" xfId="0" applyNumberFormat="1" applyFill="1" applyBorder="1" applyProtection="1">
      <protection locked="0"/>
    </xf>
    <xf numFmtId="0" fontId="0" fillId="0" borderId="25" xfId="0" applyFill="1" applyBorder="1" applyProtection="1"/>
    <xf numFmtId="0" fontId="0" fillId="0" borderId="29" xfId="0" applyFill="1" applyBorder="1" applyAlignment="1" applyProtection="1">
      <alignment horizontal="center"/>
    </xf>
    <xf numFmtId="4" fontId="0" fillId="0" borderId="29" xfId="0" applyNumberFormat="1" applyFill="1" applyBorder="1" applyProtection="1"/>
    <xf numFmtId="180" fontId="0" fillId="0" borderId="30" xfId="0" applyNumberFormat="1" applyFill="1" applyBorder="1" applyProtection="1">
      <protection locked="0"/>
    </xf>
    <xf numFmtId="176" fontId="0" fillId="0" borderId="31" xfId="0" applyNumberFormat="1" applyFill="1" applyBorder="1" applyProtection="1">
      <protection locked="0"/>
    </xf>
    <xf numFmtId="0" fontId="0" fillId="24" borderId="10" xfId="0" applyFill="1" applyBorder="1" applyProtection="1">
      <protection locked="0"/>
    </xf>
    <xf numFmtId="0" fontId="0" fillId="24" borderId="0" xfId="0" applyFill="1" applyBorder="1" applyAlignment="1" applyProtection="1">
      <alignment horizontal="center"/>
      <protection locked="0"/>
    </xf>
    <xf numFmtId="4" fontId="0" fillId="24" borderId="11" xfId="0" applyNumberFormat="1" applyFill="1" applyBorder="1" applyProtection="1">
      <protection locked="0"/>
    </xf>
    <xf numFmtId="0" fontId="0" fillId="24" borderId="11" xfId="0" applyFill="1" applyBorder="1" applyProtection="1"/>
    <xf numFmtId="176" fontId="0" fillId="24" borderId="11" xfId="0" applyNumberFormat="1" applyFill="1" applyBorder="1" applyProtection="1">
      <protection locked="0"/>
    </xf>
    <xf numFmtId="0" fontId="0" fillId="0" borderId="41" xfId="0" applyFill="1" applyBorder="1" applyAlignment="1">
      <alignment horizontal="center"/>
    </xf>
    <xf numFmtId="0" fontId="21" fillId="0" borderId="11" xfId="0" applyFont="1" applyFill="1" applyBorder="1"/>
    <xf numFmtId="0" fontId="0" fillId="0" borderId="0" xfId="0" applyFill="1" applyBorder="1" applyAlignment="1">
      <alignment horizontal="center"/>
    </xf>
    <xf numFmtId="0" fontId="0" fillId="0" borderId="11" xfId="0" applyFill="1" applyBorder="1"/>
    <xf numFmtId="0" fontId="0" fillId="0" borderId="0" xfId="0" applyFill="1"/>
    <xf numFmtId="0" fontId="21" fillId="0" borderId="44" xfId="0" applyFont="1" applyFill="1" applyBorder="1"/>
    <xf numFmtId="0" fontId="0" fillId="0" borderId="42" xfId="0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0" borderId="46" xfId="0" applyFill="1" applyBorder="1"/>
    <xf numFmtId="0" fontId="0" fillId="0" borderId="40" xfId="0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0" fillId="0" borderId="44" xfId="0" applyFill="1" applyBorder="1"/>
    <xf numFmtId="0" fontId="0" fillId="0" borderId="0" xfId="0" applyFill="1" applyBorder="1"/>
    <xf numFmtId="177" fontId="0" fillId="0" borderId="30" xfId="0" applyNumberFormat="1" applyFill="1" applyBorder="1" applyProtection="1">
      <protection locked="0"/>
    </xf>
    <xf numFmtId="177" fontId="0" fillId="0" borderId="27" xfId="0" applyNumberFormat="1" applyFill="1" applyBorder="1" applyProtection="1">
      <protection locked="0"/>
    </xf>
    <xf numFmtId="0" fontId="21" fillId="0" borderId="11" xfId="0" applyFont="1" applyFill="1" applyBorder="1" applyAlignment="1">
      <alignment horizontal="center"/>
    </xf>
    <xf numFmtId="0" fontId="21" fillId="0" borderId="46" xfId="0" applyFont="1" applyFill="1" applyBorder="1"/>
    <xf numFmtId="177" fontId="21" fillId="0" borderId="27" xfId="0" applyNumberFormat="1" applyFont="1" applyFill="1" applyBorder="1" applyProtection="1">
      <protection locked="0"/>
    </xf>
    <xf numFmtId="0" fontId="0" fillId="0" borderId="10" xfId="0" applyFill="1" applyBorder="1" applyAlignment="1">
      <alignment horizontal="center"/>
    </xf>
    <xf numFmtId="177" fontId="21" fillId="0" borderId="32" xfId="0" applyNumberFormat="1" applyFont="1" applyFill="1" applyBorder="1" applyProtection="1">
      <protection locked="0"/>
    </xf>
    <xf numFmtId="0" fontId="0" fillId="0" borderId="37" xfId="0" applyFill="1" applyBorder="1" applyAlignment="1">
      <alignment horizontal="center"/>
    </xf>
    <xf numFmtId="177" fontId="0" fillId="0" borderId="32" xfId="0" applyNumberFormat="1" applyFill="1" applyBorder="1" applyProtection="1">
      <protection locked="0"/>
    </xf>
    <xf numFmtId="0" fontId="0" fillId="0" borderId="46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45" xfId="0" applyFill="1" applyBorder="1" applyAlignment="1">
      <alignment horizontal="center"/>
    </xf>
    <xf numFmtId="177" fontId="0" fillId="0" borderId="31" xfId="0" applyNumberFormat="1" applyFill="1" applyBorder="1" applyProtection="1">
      <protection locked="0"/>
    </xf>
    <xf numFmtId="177" fontId="0" fillId="0" borderId="47" xfId="0" applyNumberFormat="1" applyFill="1" applyBorder="1" applyProtection="1">
      <protection locked="0"/>
    </xf>
    <xf numFmtId="0" fontId="0" fillId="0" borderId="44" xfId="0" applyFill="1" applyBorder="1" applyAlignment="1">
      <alignment horizontal="center"/>
    </xf>
    <xf numFmtId="0" fontId="36" fillId="0" borderId="55" xfId="0" applyFont="1" applyFill="1" applyBorder="1"/>
    <xf numFmtId="0" fontId="21" fillId="0" borderId="44" xfId="0" applyFont="1" applyFill="1" applyBorder="1" applyAlignment="1">
      <alignment horizontal="center"/>
    </xf>
    <xf numFmtId="0" fontId="21" fillId="0" borderId="15" xfId="0" applyFont="1" applyFill="1" applyBorder="1"/>
    <xf numFmtId="0" fontId="21" fillId="0" borderId="29" xfId="0" applyFont="1" applyFill="1" applyBorder="1"/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173" fontId="0" fillId="0" borderId="0" xfId="0" applyNumberFormat="1" applyFill="1" applyBorder="1"/>
    <xf numFmtId="0" fontId="21" fillId="0" borderId="0" xfId="0" applyFont="1" applyFill="1" applyBorder="1"/>
    <xf numFmtId="0" fontId="21" fillId="0" borderId="11" xfId="0" applyFont="1" applyFill="1" applyBorder="1" applyAlignment="1">
      <alignment wrapText="1"/>
    </xf>
    <xf numFmtId="0" fontId="21" fillId="0" borderId="44" xfId="0" applyFont="1" applyFill="1" applyBorder="1" applyAlignment="1">
      <alignment wrapText="1"/>
    </xf>
    <xf numFmtId="0" fontId="39" fillId="0" borderId="0" xfId="0" applyFont="1" applyFill="1" applyBorder="1" applyAlignment="1">
      <alignment horizontal="center"/>
    </xf>
    <xf numFmtId="0" fontId="35" fillId="0" borderId="24" xfId="0" applyFont="1" applyFill="1" applyBorder="1" applyAlignment="1">
      <alignment horizontal="center"/>
    </xf>
    <xf numFmtId="0" fontId="36" fillId="0" borderId="0" xfId="0" applyFont="1" applyFill="1"/>
    <xf numFmtId="0" fontId="35" fillId="0" borderId="0" xfId="0" applyFont="1" applyFill="1" applyAlignment="1">
      <alignment horizontal="center"/>
    </xf>
    <xf numFmtId="0" fontId="36" fillId="0" borderId="0" xfId="0" applyFont="1" applyFill="1" applyBorder="1"/>
    <xf numFmtId="0" fontId="0" fillId="0" borderId="66" xfId="0" applyFill="1" applyBorder="1" applyAlignment="1">
      <alignment horizontal="center"/>
    </xf>
    <xf numFmtId="0" fontId="0" fillId="0" borderId="67" xfId="0" applyFill="1" applyBorder="1" applyAlignment="1">
      <alignment horizontal="center"/>
    </xf>
    <xf numFmtId="0" fontId="0" fillId="0" borderId="65" xfId="0" applyFill="1" applyBorder="1" applyAlignment="1">
      <alignment horizontal="center"/>
    </xf>
    <xf numFmtId="177" fontId="0" fillId="0" borderId="32" xfId="0" applyNumberFormat="1" applyFill="1" applyBorder="1"/>
    <xf numFmtId="0" fontId="21" fillId="0" borderId="38" xfId="0" applyFont="1" applyFill="1" applyBorder="1"/>
    <xf numFmtId="177" fontId="0" fillId="0" borderId="47" xfId="0" applyNumberFormat="1" applyFill="1" applyBorder="1"/>
    <xf numFmtId="0" fontId="21" fillId="0" borderId="40" xfId="0" applyFont="1" applyFill="1" applyBorder="1"/>
    <xf numFmtId="177" fontId="0" fillId="0" borderId="31" xfId="0" applyNumberFormat="1" applyFill="1" applyBorder="1"/>
    <xf numFmtId="0" fontId="40" fillId="0" borderId="0" xfId="55" applyFont="1" applyAlignment="1">
      <alignment horizontal="center"/>
    </xf>
    <xf numFmtId="0" fontId="21" fillId="0" borderId="0" xfId="55"/>
    <xf numFmtId="182" fontId="21" fillId="0" borderId="0" xfId="63" applyNumberFormat="1"/>
    <xf numFmtId="0" fontId="21" fillId="0" borderId="0" xfId="55" applyAlignment="1">
      <alignment horizontal="center"/>
    </xf>
    <xf numFmtId="0" fontId="30" fillId="25" borderId="0" xfId="55" applyFont="1" applyFill="1"/>
    <xf numFmtId="183" fontId="30" fillId="25" borderId="0" xfId="33" applyNumberFormat="1" applyFont="1" applyFill="1"/>
    <xf numFmtId="0" fontId="30" fillId="25" borderId="51" xfId="55" applyFont="1" applyFill="1" applyBorder="1" applyAlignment="1">
      <alignment horizontal="center"/>
    </xf>
    <xf numFmtId="0" fontId="30" fillId="25" borderId="52" xfId="55" applyFont="1" applyFill="1" applyBorder="1"/>
    <xf numFmtId="0" fontId="30" fillId="25" borderId="53" xfId="55" applyFont="1" applyFill="1" applyBorder="1"/>
    <xf numFmtId="0" fontId="21" fillId="0" borderId="41" xfId="55" applyBorder="1"/>
    <xf numFmtId="0" fontId="21" fillId="0" borderId="11" xfId="55" applyBorder="1"/>
    <xf numFmtId="0" fontId="21" fillId="0" borderId="0" xfId="55" applyBorder="1"/>
    <xf numFmtId="0" fontId="21" fillId="0" borderId="27" xfId="55" applyBorder="1"/>
    <xf numFmtId="0" fontId="21" fillId="0" borderId="49" xfId="55" applyFont="1" applyBorder="1"/>
    <xf numFmtId="2" fontId="21" fillId="0" borderId="13" xfId="55" applyNumberFormat="1" applyFont="1" applyBorder="1" applyAlignment="1">
      <alignment horizontal="center"/>
    </xf>
    <xf numFmtId="0" fontId="21" fillId="0" borderId="13" xfId="55" applyBorder="1" applyAlignment="1">
      <alignment horizontal="center"/>
    </xf>
    <xf numFmtId="0" fontId="29" fillId="0" borderId="41" xfId="55" applyFont="1" applyBorder="1"/>
    <xf numFmtId="0" fontId="42" fillId="0" borderId="11" xfId="55" applyFont="1" applyBorder="1"/>
    <xf numFmtId="0" fontId="42" fillId="0" borderId="0" xfId="55" applyFont="1" applyBorder="1"/>
    <xf numFmtId="0" fontId="29" fillId="0" borderId="27" xfId="55" applyFont="1" applyBorder="1" applyAlignment="1">
      <alignment horizontal="center"/>
    </xf>
    <xf numFmtId="0" fontId="43" fillId="0" borderId="41" xfId="55" applyFont="1" applyBorder="1"/>
    <xf numFmtId="0" fontId="43" fillId="0" borderId="11" xfId="55" applyFont="1" applyBorder="1"/>
    <xf numFmtId="0" fontId="43" fillId="0" borderId="0" xfId="55" applyFont="1" applyBorder="1"/>
    <xf numFmtId="173" fontId="43" fillId="0" borderId="27" xfId="55" applyNumberFormat="1" applyFont="1" applyBorder="1"/>
    <xf numFmtId="10" fontId="43" fillId="0" borderId="11" xfId="55" applyNumberFormat="1" applyFont="1" applyBorder="1"/>
    <xf numFmtId="10" fontId="29" fillId="0" borderId="11" xfId="55" applyNumberFormat="1" applyFont="1" applyBorder="1"/>
    <xf numFmtId="0" fontId="29" fillId="0" borderId="0" xfId="55" applyFont="1" applyBorder="1"/>
    <xf numFmtId="173" fontId="29" fillId="0" borderId="27" xfId="55" applyNumberFormat="1" applyFont="1" applyBorder="1"/>
    <xf numFmtId="0" fontId="29" fillId="0" borderId="22" xfId="55" applyFont="1" applyBorder="1" applyAlignment="1">
      <alignment horizontal="center" vertical="center"/>
    </xf>
    <xf numFmtId="0" fontId="29" fillId="0" borderId="28" xfId="55" applyFont="1" applyBorder="1" applyAlignment="1">
      <alignment horizontal="center" vertical="center"/>
    </xf>
    <xf numFmtId="0" fontId="29" fillId="0" borderId="23" xfId="55" applyFont="1" applyBorder="1" applyAlignment="1">
      <alignment horizontal="center" vertical="center"/>
    </xf>
    <xf numFmtId="0" fontId="29" fillId="0" borderId="68" xfId="55" applyFont="1" applyBorder="1" applyAlignment="1">
      <alignment horizontal="center" vertical="center" wrapText="1"/>
    </xf>
    <xf numFmtId="0" fontId="29" fillId="0" borderId="24" xfId="55" applyFont="1" applyBorder="1" applyAlignment="1">
      <alignment horizontal="center" vertical="center"/>
    </xf>
    <xf numFmtId="0" fontId="29" fillId="0" borderId="45" xfId="55" applyFont="1" applyBorder="1"/>
    <xf numFmtId="0" fontId="43" fillId="0" borderId="29" xfId="55" applyFont="1" applyBorder="1"/>
    <xf numFmtId="0" fontId="43" fillId="0" borderId="46" xfId="55" applyFont="1" applyBorder="1"/>
    <xf numFmtId="0" fontId="43" fillId="0" borderId="30" xfId="55" applyFont="1" applyBorder="1"/>
    <xf numFmtId="0" fontId="21" fillId="0" borderId="35" xfId="55" applyFont="1" applyBorder="1"/>
    <xf numFmtId="0" fontId="21" fillId="0" borderId="18" xfId="55" applyBorder="1" applyAlignment="1">
      <alignment horizontal="center"/>
    </xf>
    <xf numFmtId="0" fontId="21" fillId="0" borderId="18" xfId="55" applyFont="1" applyBorder="1" applyAlignment="1">
      <alignment horizontal="center"/>
    </xf>
    <xf numFmtId="0" fontId="43" fillId="0" borderId="10" xfId="0" applyFont="1" applyBorder="1" applyAlignment="1">
      <alignment horizontal="justify" vertical="center" wrapText="1"/>
    </xf>
    <xf numFmtId="0" fontId="43" fillId="0" borderId="21" xfId="0" applyFont="1" applyBorder="1" applyAlignment="1">
      <alignment horizontal="center" vertical="center"/>
    </xf>
    <xf numFmtId="4" fontId="43" fillId="0" borderId="15" xfId="55" applyNumberFormat="1" applyFont="1" applyBorder="1" applyAlignment="1">
      <alignment horizontal="center"/>
    </xf>
    <xf numFmtId="9" fontId="43" fillId="0" borderId="15" xfId="55" applyNumberFormat="1" applyFont="1" applyBorder="1"/>
    <xf numFmtId="0" fontId="21" fillId="0" borderId="54" xfId="55" applyFont="1" applyBorder="1"/>
    <xf numFmtId="0" fontId="21" fillId="0" borderId="59" xfId="55" applyBorder="1" applyAlignment="1">
      <alignment horizontal="center"/>
    </xf>
    <xf numFmtId="0" fontId="21" fillId="0" borderId="59" xfId="55" applyFont="1" applyBorder="1" applyAlignment="1">
      <alignment horizontal="center"/>
    </xf>
    <xf numFmtId="0" fontId="43" fillId="0" borderId="10" xfId="55" applyFont="1" applyBorder="1"/>
    <xf numFmtId="0" fontId="43" fillId="0" borderId="15" xfId="55" applyFont="1" applyBorder="1" applyAlignment="1">
      <alignment horizontal="center"/>
    </xf>
    <xf numFmtId="173" fontId="43" fillId="0" borderId="11" xfId="55" applyNumberFormat="1" applyFont="1" applyBorder="1"/>
    <xf numFmtId="0" fontId="21" fillId="0" borderId="13" xfId="55" applyBorder="1"/>
    <xf numFmtId="182" fontId="21" fillId="0" borderId="13" xfId="63" applyNumberFormat="1" applyFont="1" applyBorder="1"/>
    <xf numFmtId="171" fontId="21" fillId="0" borderId="13" xfId="53" applyNumberFormat="1" applyBorder="1"/>
    <xf numFmtId="182" fontId="21" fillId="0" borderId="13" xfId="63" applyNumberFormat="1" applyBorder="1"/>
    <xf numFmtId="184" fontId="21" fillId="0" borderId="0" xfId="55" applyNumberFormat="1"/>
    <xf numFmtId="185" fontId="21" fillId="0" borderId="0" xfId="55" applyNumberFormat="1"/>
    <xf numFmtId="0" fontId="29" fillId="0" borderId="10" xfId="55" applyFont="1" applyBorder="1"/>
    <xf numFmtId="10" fontId="43" fillId="0" borderId="15" xfId="55" applyNumberFormat="1" applyFont="1" applyBorder="1" applyAlignment="1">
      <alignment horizontal="center"/>
    </xf>
    <xf numFmtId="0" fontId="43" fillId="0" borderId="10" xfId="55" applyFont="1" applyBorder="1" applyAlignment="1">
      <alignment vertical="justify"/>
    </xf>
    <xf numFmtId="0" fontId="43" fillId="0" borderId="10" xfId="55" applyFont="1" applyBorder="1" applyAlignment="1">
      <alignment wrapText="1"/>
    </xf>
    <xf numFmtId="0" fontId="43" fillId="0" borderId="0" xfId="55" applyFont="1" applyBorder="1" applyAlignment="1">
      <alignment horizontal="center"/>
    </xf>
    <xf numFmtId="10" fontId="21" fillId="0" borderId="0" xfId="55" applyNumberFormat="1" applyBorder="1"/>
    <xf numFmtId="4" fontId="43" fillId="0" borderId="15" xfId="55" applyNumberFormat="1" applyFont="1" applyFill="1" applyBorder="1" applyAlignment="1">
      <alignment horizontal="center"/>
    </xf>
    <xf numFmtId="173" fontId="43" fillId="0" borderId="11" xfId="55" applyNumberFormat="1" applyFont="1" applyFill="1" applyBorder="1"/>
    <xf numFmtId="176" fontId="43" fillId="0" borderId="11" xfId="0" applyNumberFormat="1" applyFont="1" applyFill="1" applyBorder="1" applyAlignment="1">
      <alignment vertical="center"/>
    </xf>
    <xf numFmtId="9" fontId="43" fillId="0" borderId="15" xfId="55" applyNumberFormat="1" applyFont="1" applyFill="1" applyBorder="1"/>
    <xf numFmtId="0" fontId="21" fillId="0" borderId="38" xfId="0" applyFont="1" applyFill="1" applyBorder="1" applyAlignment="1">
      <alignment wrapText="1"/>
    </xf>
    <xf numFmtId="0" fontId="35" fillId="0" borderId="22" xfId="0" applyFont="1" applyFill="1" applyBorder="1" applyAlignment="1">
      <alignment horizontal="center"/>
    </xf>
    <xf numFmtId="0" fontId="35" fillId="0" borderId="24" xfId="0" applyFont="1" applyFill="1" applyBorder="1"/>
    <xf numFmtId="0" fontId="35" fillId="0" borderId="70" xfId="0" applyFont="1" applyFill="1" applyBorder="1" applyAlignment="1">
      <alignment horizontal="center"/>
    </xf>
    <xf numFmtId="181" fontId="35" fillId="0" borderId="23" xfId="0" applyNumberFormat="1" applyFont="1" applyFill="1" applyBorder="1" applyAlignment="1">
      <alignment horizontal="center"/>
    </xf>
    <xf numFmtId="181" fontId="35" fillId="0" borderId="22" xfId="0" applyNumberFormat="1" applyFont="1" applyFill="1" applyBorder="1" applyAlignment="1">
      <alignment horizontal="center"/>
    </xf>
    <xf numFmtId="181" fontId="35" fillId="0" borderId="23" xfId="0" applyNumberFormat="1" applyFont="1" applyFill="1" applyBorder="1"/>
    <xf numFmtId="181" fontId="35" fillId="0" borderId="24" xfId="0" applyNumberFormat="1" applyFont="1" applyFill="1" applyBorder="1" applyAlignment="1">
      <alignment horizontal="center"/>
    </xf>
    <xf numFmtId="181" fontId="36" fillId="0" borderId="52" xfId="0" applyNumberFormat="1" applyFont="1" applyFill="1" applyBorder="1"/>
    <xf numFmtId="181" fontId="36" fillId="0" borderId="53" xfId="0" applyNumberFormat="1" applyFont="1" applyFill="1" applyBorder="1"/>
    <xf numFmtId="0" fontId="36" fillId="0" borderId="36" xfId="0" applyFont="1" applyFill="1" applyBorder="1"/>
    <xf numFmtId="0" fontId="36" fillId="0" borderId="60" xfId="0" applyFont="1" applyFill="1" applyBorder="1" applyAlignment="1">
      <alignment horizontal="center"/>
    </xf>
    <xf numFmtId="181" fontId="36" fillId="0" borderId="18" xfId="0" applyNumberFormat="1" applyFont="1" applyFill="1" applyBorder="1"/>
    <xf numFmtId="0" fontId="36" fillId="0" borderId="64" xfId="0" applyFont="1" applyFill="1" applyBorder="1"/>
    <xf numFmtId="181" fontId="36" fillId="0" borderId="10" xfId="0" applyNumberFormat="1" applyFont="1" applyFill="1" applyBorder="1"/>
    <xf numFmtId="181" fontId="36" fillId="0" borderId="11" xfId="0" applyNumberFormat="1" applyFont="1" applyFill="1" applyBorder="1"/>
    <xf numFmtId="0" fontId="36" fillId="0" borderId="50" xfId="0" applyFont="1" applyFill="1" applyBorder="1"/>
    <xf numFmtId="181" fontId="36" fillId="0" borderId="49" xfId="0" applyNumberFormat="1" applyFont="1" applyFill="1" applyBorder="1"/>
    <xf numFmtId="181" fontId="36" fillId="0" borderId="13" xfId="0" applyNumberFormat="1" applyFont="1" applyFill="1" applyBorder="1"/>
    <xf numFmtId="181" fontId="36" fillId="0" borderId="27" xfId="0" applyNumberFormat="1" applyFont="1" applyFill="1" applyBorder="1"/>
    <xf numFmtId="0" fontId="36" fillId="0" borderId="20" xfId="0" applyFont="1" applyFill="1" applyBorder="1" applyAlignment="1">
      <alignment horizontal="center"/>
    </xf>
    <xf numFmtId="0" fontId="36" fillId="0" borderId="62" xfId="0" applyFont="1" applyFill="1" applyBorder="1"/>
    <xf numFmtId="181" fontId="36" fillId="0" borderId="16" xfId="0" applyNumberFormat="1" applyFont="1" applyFill="1" applyBorder="1"/>
    <xf numFmtId="181" fontId="36" fillId="0" borderId="26" xfId="0" applyNumberFormat="1" applyFont="1" applyFill="1" applyBorder="1"/>
    <xf numFmtId="0" fontId="36" fillId="0" borderId="57" xfId="0" applyFont="1" applyFill="1" applyBorder="1" applyAlignment="1">
      <alignment horizontal="center"/>
    </xf>
    <xf numFmtId="181" fontId="36" fillId="0" borderId="59" xfId="0" applyNumberFormat="1" applyFont="1" applyFill="1" applyBorder="1"/>
    <xf numFmtId="0" fontId="36" fillId="0" borderId="63" xfId="0" applyFont="1" applyFill="1" applyBorder="1"/>
    <xf numFmtId="181" fontId="36" fillId="0" borderId="54" xfId="0" applyNumberFormat="1" applyFont="1" applyFill="1" applyBorder="1"/>
    <xf numFmtId="181" fontId="36" fillId="0" borderId="55" xfId="0" applyNumberFormat="1" applyFont="1" applyFill="1" applyBorder="1"/>
    <xf numFmtId="0" fontId="36" fillId="0" borderId="0" xfId="0" applyFont="1" applyFill="1" applyAlignment="1">
      <alignment horizontal="center"/>
    </xf>
    <xf numFmtId="181" fontId="36" fillId="0" borderId="0" xfId="0" applyNumberFormat="1" applyFont="1" applyFill="1"/>
    <xf numFmtId="181" fontId="36" fillId="0" borderId="37" xfId="0" applyNumberFormat="1" applyFont="1" applyFill="1" applyBorder="1"/>
    <xf numFmtId="181" fontId="36" fillId="0" borderId="44" xfId="0" applyNumberFormat="1" applyFont="1" applyFill="1" applyBorder="1"/>
    <xf numFmtId="181" fontId="36" fillId="0" borderId="45" xfId="0" applyNumberFormat="1" applyFont="1" applyFill="1" applyBorder="1"/>
    <xf numFmtId="181" fontId="36" fillId="0" borderId="46" xfId="0" applyNumberFormat="1" applyFont="1" applyFill="1" applyBorder="1"/>
    <xf numFmtId="0" fontId="35" fillId="0" borderId="28" xfId="0" applyFont="1" applyFill="1" applyBorder="1" applyAlignment="1">
      <alignment horizontal="center"/>
    </xf>
    <xf numFmtId="181" fontId="35" fillId="0" borderId="45" xfId="0" applyNumberFormat="1" applyFont="1" applyFill="1" applyBorder="1" applyAlignment="1">
      <alignment horizontal="center"/>
    </xf>
    <xf numFmtId="181" fontId="35" fillId="0" borderId="46" xfId="0" applyNumberFormat="1" applyFont="1" applyFill="1" applyBorder="1" applyAlignment="1">
      <alignment horizontal="center"/>
    </xf>
    <xf numFmtId="181" fontId="35" fillId="0" borderId="46" xfId="0" applyNumberFormat="1" applyFont="1" applyFill="1" applyBorder="1"/>
    <xf numFmtId="181" fontId="35" fillId="0" borderId="30" xfId="0" applyNumberFormat="1" applyFont="1" applyFill="1" applyBorder="1" applyAlignment="1">
      <alignment horizontal="center"/>
    </xf>
    <xf numFmtId="0" fontId="0" fillId="0" borderId="42" xfId="0" applyFill="1" applyBorder="1" applyAlignment="1">
      <alignment horizontal="center" vertical="center"/>
    </xf>
    <xf numFmtId="0" fontId="21" fillId="0" borderId="41" xfId="0" applyFont="1" applyFill="1" applyBorder="1" applyAlignment="1">
      <alignment horizontal="center" vertical="center"/>
    </xf>
    <xf numFmtId="0" fontId="35" fillId="0" borderId="45" xfId="0" applyFont="1" applyFill="1" applyBorder="1" applyAlignment="1">
      <alignment horizontal="center"/>
    </xf>
    <xf numFmtId="0" fontId="35" fillId="0" borderId="30" xfId="0" applyFont="1" applyFill="1" applyBorder="1"/>
    <xf numFmtId="0" fontId="35" fillId="0" borderId="58" xfId="0" applyFont="1" applyFill="1" applyBorder="1" applyAlignment="1">
      <alignment horizontal="center"/>
    </xf>
    <xf numFmtId="0" fontId="35" fillId="0" borderId="30" xfId="0" applyFont="1" applyFill="1" applyBorder="1" applyAlignment="1">
      <alignment horizontal="center"/>
    </xf>
    <xf numFmtId="186" fontId="21" fillId="0" borderId="0" xfId="55" applyNumberFormat="1"/>
    <xf numFmtId="173" fontId="43" fillId="0" borderId="32" xfId="55" applyNumberFormat="1" applyFont="1" applyBorder="1"/>
    <xf numFmtId="0" fontId="29" fillId="0" borderId="41" xfId="55" applyFont="1" applyBorder="1" applyAlignment="1">
      <alignment vertical="center"/>
    </xf>
    <xf numFmtId="0" fontId="43" fillId="0" borderId="41" xfId="55" applyFont="1" applyBorder="1" applyAlignment="1">
      <alignment vertical="justify"/>
    </xf>
    <xf numFmtId="0" fontId="40" fillId="0" borderId="42" xfId="55" applyFont="1" applyBorder="1"/>
    <xf numFmtId="10" fontId="43" fillId="0" borderId="32" xfId="55" applyNumberFormat="1" applyFont="1" applyBorder="1"/>
    <xf numFmtId="0" fontId="29" fillId="0" borderId="32" xfId="55" applyFont="1" applyBorder="1"/>
    <xf numFmtId="0" fontId="43" fillId="0" borderId="11" xfId="55" applyFont="1" applyBorder="1" applyAlignment="1">
      <alignment horizontal="center"/>
    </xf>
    <xf numFmtId="4" fontId="43" fillId="0" borderId="11" xfId="55" applyNumberFormat="1" applyFont="1" applyBorder="1" applyAlignment="1">
      <alignment horizontal="center"/>
    </xf>
    <xf numFmtId="9" fontId="43" fillId="0" borderId="11" xfId="55" applyNumberFormat="1" applyFont="1" applyFill="1" applyBorder="1"/>
    <xf numFmtId="9" fontId="43" fillId="0" borderId="11" xfId="55" applyNumberFormat="1" applyFont="1" applyBorder="1"/>
    <xf numFmtId="0" fontId="29" fillId="0" borderId="11" xfId="55" applyFont="1" applyBorder="1"/>
    <xf numFmtId="0" fontId="30" fillId="0" borderId="44" xfId="55" applyFont="1" applyBorder="1"/>
    <xf numFmtId="0" fontId="43" fillId="0" borderId="41" xfId="55" applyFont="1" applyBorder="1" applyAlignment="1">
      <alignment vertical="center"/>
    </xf>
    <xf numFmtId="0" fontId="35" fillId="0" borderId="69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36" fillId="0" borderId="38" xfId="0" applyFont="1" applyFill="1" applyBorder="1"/>
    <xf numFmtId="181" fontId="45" fillId="0" borderId="43" xfId="0" applyNumberFormat="1" applyFont="1" applyFill="1" applyBorder="1"/>
    <xf numFmtId="181" fontId="45" fillId="0" borderId="28" xfId="0" applyNumberFormat="1" applyFont="1" applyFill="1" applyBorder="1"/>
    <xf numFmtId="181" fontId="45" fillId="0" borderId="48" xfId="0" applyNumberFormat="1" applyFont="1" applyFill="1" applyBorder="1"/>
    <xf numFmtId="0" fontId="50" fillId="0" borderId="41" xfId="0" applyFont="1" applyFill="1" applyBorder="1" applyAlignment="1">
      <alignment horizontal="center"/>
    </xf>
    <xf numFmtId="177" fontId="50" fillId="0" borderId="32" xfId="0" applyNumberFormat="1" applyFont="1" applyFill="1" applyBorder="1" applyProtection="1">
      <protection locked="0"/>
    </xf>
    <xf numFmtId="9" fontId="43" fillId="0" borderId="32" xfId="55" applyNumberFormat="1" applyFont="1" applyBorder="1"/>
    <xf numFmtId="0" fontId="35" fillId="0" borderId="65" xfId="0" applyFont="1" applyFill="1" applyBorder="1" applyAlignment="1">
      <alignment horizontal="center"/>
    </xf>
    <xf numFmtId="0" fontId="35" fillId="0" borderId="31" xfId="0" applyFont="1" applyFill="1" applyBorder="1" applyAlignment="1">
      <alignment horizontal="center"/>
    </xf>
    <xf numFmtId="181" fontId="35" fillId="0" borderId="65" xfId="0" applyNumberFormat="1" applyFont="1" applyFill="1" applyBorder="1" applyAlignment="1">
      <alignment horizontal="center"/>
    </xf>
    <xf numFmtId="171" fontId="0" fillId="0" borderId="0" xfId="43" applyFont="1" applyFill="1" applyBorder="1"/>
    <xf numFmtId="171" fontId="0" fillId="0" borderId="0" xfId="0" applyNumberFormat="1" applyFill="1" applyBorder="1"/>
    <xf numFmtId="165" fontId="0" fillId="0" borderId="0" xfId="0" applyNumberFormat="1" applyFill="1" applyBorder="1"/>
    <xf numFmtId="9" fontId="0" fillId="0" borderId="0" xfId="62" applyFont="1" applyFill="1" applyBorder="1"/>
    <xf numFmtId="191" fontId="0" fillId="0" borderId="0" xfId="0" applyNumberFormat="1" applyFill="1" applyBorder="1"/>
    <xf numFmtId="10" fontId="40" fillId="0" borderId="47" xfId="55" applyNumberFormat="1" applyFont="1" applyBorder="1"/>
    <xf numFmtId="171" fontId="0" fillId="0" borderId="13" xfId="43" applyFont="1" applyFill="1" applyBorder="1"/>
    <xf numFmtId="192" fontId="0" fillId="0" borderId="0" xfId="0" applyNumberFormat="1" applyFill="1" applyBorder="1"/>
    <xf numFmtId="192" fontId="48" fillId="27" borderId="0" xfId="43" applyNumberFormat="1" applyFont="1" applyFill="1" applyBorder="1"/>
    <xf numFmtId="192" fontId="48" fillId="30" borderId="0" xfId="43" applyNumberFormat="1" applyFont="1" applyFill="1" applyBorder="1"/>
    <xf numFmtId="0" fontId="36" fillId="0" borderId="38" xfId="0" applyFont="1" applyFill="1" applyBorder="1" applyAlignment="1">
      <alignment vertical="center"/>
    </xf>
    <xf numFmtId="181" fontId="45" fillId="0" borderId="43" xfId="0" applyNumberFormat="1" applyFont="1" applyFill="1" applyBorder="1" applyAlignment="1">
      <alignment vertical="center"/>
    </xf>
    <xf numFmtId="181" fontId="45" fillId="0" borderId="28" xfId="0" applyNumberFormat="1" applyFont="1" applyFill="1" applyBorder="1" applyAlignment="1">
      <alignment vertical="center"/>
    </xf>
    <xf numFmtId="181" fontId="45" fillId="0" borderId="48" xfId="0" applyNumberFormat="1" applyFont="1" applyFill="1" applyBorder="1" applyAlignment="1">
      <alignment vertical="center"/>
    </xf>
    <xf numFmtId="0" fontId="21" fillId="0" borderId="0" xfId="60"/>
    <xf numFmtId="0" fontId="21" fillId="0" borderId="0" xfId="60" applyFont="1" applyFill="1" applyBorder="1" applyAlignment="1">
      <alignment horizontal="center"/>
    </xf>
    <xf numFmtId="173" fontId="40" fillId="0" borderId="0" xfId="60" applyNumberFormat="1" applyFont="1" applyFill="1" applyBorder="1"/>
    <xf numFmtId="171" fontId="21" fillId="0" borderId="0" xfId="52" applyFont="1" applyFill="1" applyBorder="1" applyAlignment="1">
      <alignment horizontal="center"/>
    </xf>
    <xf numFmtId="171" fontId="21" fillId="0" borderId="0" xfId="60" applyNumberFormat="1" applyFont="1" applyFill="1" applyBorder="1" applyAlignment="1">
      <alignment horizontal="center"/>
    </xf>
    <xf numFmtId="192" fontId="21" fillId="0" borderId="0" xfId="52" applyNumberFormat="1" applyFont="1" applyFill="1" applyBorder="1" applyAlignment="1">
      <alignment horizontal="center"/>
    </xf>
    <xf numFmtId="193" fontId="0" fillId="0" borderId="0" xfId="43" applyNumberFormat="1" applyFont="1" applyFill="1" applyBorder="1"/>
    <xf numFmtId="194" fontId="21" fillId="0" borderId="50" xfId="55" applyNumberFormat="1" applyBorder="1"/>
    <xf numFmtId="194" fontId="21" fillId="0" borderId="36" xfId="55" applyNumberFormat="1" applyBorder="1"/>
    <xf numFmtId="194" fontId="21" fillId="0" borderId="55" xfId="55" applyNumberFormat="1" applyBorder="1"/>
    <xf numFmtId="0" fontId="0" fillId="0" borderId="13" xfId="0" applyFill="1" applyBorder="1" applyAlignment="1">
      <alignment horizontal="center"/>
    </xf>
    <xf numFmtId="177" fontId="0" fillId="0" borderId="13" xfId="0" applyNumberFormat="1" applyFill="1" applyBorder="1" applyProtection="1">
      <protection locked="0"/>
    </xf>
    <xf numFmtId="0" fontId="21" fillId="0" borderId="13" xfId="0" applyFont="1" applyFill="1" applyBorder="1"/>
    <xf numFmtId="0" fontId="10" fillId="0" borderId="41" xfId="0" applyFont="1" applyFill="1" applyBorder="1" applyAlignment="1">
      <alignment horizontal="center"/>
    </xf>
    <xf numFmtId="0" fontId="0" fillId="0" borderId="15" xfId="0" applyFill="1" applyBorder="1"/>
    <xf numFmtId="9" fontId="43" fillId="0" borderId="11" xfId="62" applyFont="1" applyBorder="1"/>
    <xf numFmtId="0" fontId="0" fillId="0" borderId="13" xfId="0" applyFill="1" applyBorder="1"/>
    <xf numFmtId="0" fontId="10" fillId="0" borderId="0" xfId="0" applyFont="1" applyFill="1" applyBorder="1"/>
    <xf numFmtId="173" fontId="10" fillId="0" borderId="0" xfId="0" applyNumberFormat="1" applyFont="1" applyFill="1" applyBorder="1"/>
    <xf numFmtId="0" fontId="21" fillId="0" borderId="49" xfId="55" applyFont="1" applyBorder="1" applyAlignment="1">
      <alignment vertical="center"/>
    </xf>
    <xf numFmtId="2" fontId="21" fillId="0" borderId="13" xfId="55" applyNumberFormat="1" applyFont="1" applyBorder="1" applyAlignment="1">
      <alignment horizontal="center" vertical="center"/>
    </xf>
    <xf numFmtId="0" fontId="21" fillId="0" borderId="13" xfId="55" applyBorder="1" applyAlignment="1">
      <alignment horizontal="center" vertical="center"/>
    </xf>
    <xf numFmtId="194" fontId="21" fillId="0" borderId="50" xfId="55" applyNumberFormat="1" applyBorder="1" applyAlignment="1">
      <alignment vertical="center"/>
    </xf>
    <xf numFmtId="194" fontId="21" fillId="0" borderId="13" xfId="55" applyNumberFormat="1" applyFill="1" applyBorder="1"/>
    <xf numFmtId="194" fontId="21" fillId="0" borderId="13" xfId="55" applyNumberFormat="1" applyBorder="1"/>
    <xf numFmtId="194" fontId="21" fillId="0" borderId="13" xfId="55" applyNumberFormat="1" applyBorder="1" applyAlignment="1">
      <alignment vertical="center"/>
    </xf>
    <xf numFmtId="194" fontId="21" fillId="0" borderId="59" xfId="55" applyNumberFormat="1" applyBorder="1"/>
    <xf numFmtId="0" fontId="51" fillId="0" borderId="13" xfId="55" applyFont="1" applyFill="1" applyBorder="1" applyAlignment="1">
      <alignment vertical="center"/>
    </xf>
    <xf numFmtId="0" fontId="10" fillId="0" borderId="0" xfId="0" applyFont="1" applyFill="1" applyBorder="1" applyAlignment="1">
      <alignment horizontal="center"/>
    </xf>
    <xf numFmtId="0" fontId="10" fillId="0" borderId="39" xfId="0" applyFont="1" applyFill="1" applyBorder="1" applyAlignment="1">
      <alignment horizontal="center"/>
    </xf>
    <xf numFmtId="0" fontId="10" fillId="0" borderId="29" xfId="0" applyFont="1" applyFill="1" applyBorder="1"/>
    <xf numFmtId="0" fontId="0" fillId="0" borderId="16" xfId="0" applyFill="1" applyBorder="1" applyAlignment="1">
      <alignment horizontal="center"/>
    </xf>
    <xf numFmtId="0" fontId="10" fillId="0" borderId="13" xfId="0" applyFont="1" applyFill="1" applyBorder="1"/>
    <xf numFmtId="0" fontId="10" fillId="0" borderId="15" xfId="0" applyFont="1" applyFill="1" applyBorder="1"/>
    <xf numFmtId="0" fontId="0" fillId="0" borderId="33" xfId="0" applyFill="1" applyBorder="1"/>
    <xf numFmtId="0" fontId="30" fillId="0" borderId="39" xfId="0" applyFont="1" applyFill="1" applyBorder="1" applyAlignment="1">
      <alignment horizontal="center"/>
    </xf>
    <xf numFmtId="0" fontId="30" fillId="0" borderId="40" xfId="0" applyFont="1" applyFill="1" applyBorder="1" applyAlignment="1">
      <alignment horizontal="center"/>
    </xf>
    <xf numFmtId="0" fontId="30" fillId="0" borderId="46" xfId="0" applyFont="1" applyFill="1" applyBorder="1" applyAlignment="1"/>
    <xf numFmtId="0" fontId="30" fillId="0" borderId="31" xfId="0" applyFont="1" applyFill="1" applyBorder="1" applyAlignment="1"/>
    <xf numFmtId="0" fontId="30" fillId="0" borderId="41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11" xfId="0" applyFont="1" applyFill="1" applyBorder="1" applyAlignment="1"/>
    <xf numFmtId="0" fontId="30" fillId="0" borderId="32" xfId="0" applyFont="1" applyFill="1" applyBorder="1" applyAlignment="1"/>
    <xf numFmtId="0" fontId="50" fillId="0" borderId="15" xfId="0" applyFont="1" applyFill="1" applyBorder="1"/>
    <xf numFmtId="0" fontId="50" fillId="0" borderId="11" xfId="0" applyFont="1" applyFill="1" applyBorder="1" applyAlignment="1">
      <alignment horizontal="center"/>
    </xf>
    <xf numFmtId="0" fontId="21" fillId="0" borderId="15" xfId="0" applyFont="1" applyFill="1" applyBorder="1" applyAlignment="1">
      <alignment horizontal="justify" vertical="center" wrapText="1"/>
    </xf>
    <xf numFmtId="0" fontId="21" fillId="0" borderId="38" xfId="0" applyFont="1" applyFill="1" applyBorder="1" applyAlignment="1">
      <alignment horizontal="center"/>
    </xf>
    <xf numFmtId="0" fontId="30" fillId="0" borderId="42" xfId="0" applyFont="1" applyFill="1" applyBorder="1" applyAlignment="1">
      <alignment horizontal="center" vertical="center"/>
    </xf>
    <xf numFmtId="0" fontId="30" fillId="0" borderId="38" xfId="0" applyFont="1" applyFill="1" applyBorder="1" applyAlignment="1">
      <alignment horizontal="center"/>
    </xf>
    <xf numFmtId="0" fontId="30" fillId="0" borderId="38" xfId="0" applyFont="1" applyFill="1" applyBorder="1" applyAlignment="1"/>
    <xf numFmtId="0" fontId="30" fillId="0" borderId="47" xfId="0" applyFont="1" applyFill="1" applyBorder="1" applyAlignment="1"/>
    <xf numFmtId="0" fontId="30" fillId="0" borderId="43" xfId="0" applyFont="1" applyFill="1" applyBorder="1" applyAlignment="1">
      <alignment horizontal="center"/>
    </xf>
    <xf numFmtId="0" fontId="30" fillId="0" borderId="28" xfId="0" applyFont="1" applyFill="1" applyBorder="1" applyAlignment="1">
      <alignment horizontal="center"/>
    </xf>
    <xf numFmtId="0" fontId="30" fillId="0" borderId="28" xfId="0" applyFont="1" applyFill="1" applyBorder="1" applyAlignment="1"/>
    <xf numFmtId="0" fontId="30" fillId="0" borderId="48" xfId="0" applyFont="1" applyFill="1" applyBorder="1" applyAlignment="1"/>
    <xf numFmtId="0" fontId="0" fillId="0" borderId="11" xfId="0" applyFill="1" applyBorder="1" applyAlignment="1">
      <alignment horizontal="justify" vertical="center" wrapText="1"/>
    </xf>
    <xf numFmtId="0" fontId="50" fillId="0" borderId="10" xfId="0" applyFont="1" applyFill="1" applyBorder="1" applyAlignment="1">
      <alignment horizontal="center"/>
    </xf>
    <xf numFmtId="0" fontId="50" fillId="0" borderId="0" xfId="0" applyFont="1" applyFill="1" applyBorder="1" applyAlignment="1">
      <alignment horizontal="justify" vertical="center" wrapText="1"/>
    </xf>
    <xf numFmtId="0" fontId="50" fillId="0" borderId="0" xfId="0" applyFont="1" applyFill="1" applyBorder="1" applyAlignment="1">
      <alignment horizontal="center"/>
    </xf>
    <xf numFmtId="0" fontId="50" fillId="0" borderId="65" xfId="0" applyFont="1" applyFill="1" applyBorder="1" applyAlignment="1">
      <alignment horizontal="center"/>
    </xf>
    <xf numFmtId="0" fontId="50" fillId="0" borderId="40" xfId="0" applyFont="1" applyFill="1" applyBorder="1" applyAlignment="1">
      <alignment horizontal="justify" vertical="center" wrapText="1"/>
    </xf>
    <xf numFmtId="0" fontId="50" fillId="0" borderId="46" xfId="0" applyFont="1" applyFill="1" applyBorder="1" applyAlignment="1">
      <alignment horizontal="center"/>
    </xf>
    <xf numFmtId="177" fontId="50" fillId="0" borderId="31" xfId="0" applyNumberFormat="1" applyFont="1" applyFill="1" applyBorder="1"/>
    <xf numFmtId="0" fontId="50" fillId="0" borderId="66" xfId="0" applyFont="1" applyFill="1" applyBorder="1" applyAlignment="1">
      <alignment horizontal="center"/>
    </xf>
    <xf numFmtId="0" fontId="50" fillId="0" borderId="0" xfId="0" applyFont="1" applyFill="1" applyBorder="1"/>
    <xf numFmtId="177" fontId="50" fillId="0" borderId="32" xfId="0" applyNumberFormat="1" applyFont="1" applyFill="1" applyBorder="1"/>
    <xf numFmtId="0" fontId="41" fillId="0" borderId="46" xfId="0" applyFont="1" applyFill="1" applyBorder="1" applyAlignment="1">
      <alignment wrapText="1"/>
    </xf>
    <xf numFmtId="0" fontId="41" fillId="0" borderId="11" xfId="0" applyFont="1" applyFill="1" applyBorder="1" applyAlignment="1">
      <alignment wrapText="1"/>
    </xf>
    <xf numFmtId="0" fontId="41" fillId="0" borderId="11" xfId="0" applyFont="1" applyFill="1" applyBorder="1" applyAlignment="1">
      <alignment horizontal="left" wrapText="1"/>
    </xf>
    <xf numFmtId="0" fontId="41" fillId="0" borderId="11" xfId="0" applyFont="1" applyFill="1" applyBorder="1"/>
    <xf numFmtId="177" fontId="21" fillId="0" borderId="27" xfId="0" applyNumberFormat="1" applyFont="1" applyFill="1" applyBorder="1"/>
    <xf numFmtId="0" fontId="41" fillId="0" borderId="44" xfId="0" applyFont="1" applyFill="1" applyBorder="1"/>
    <xf numFmtId="177" fontId="21" fillId="0" borderId="32" xfId="0" applyNumberFormat="1" applyFont="1" applyFill="1" applyBorder="1"/>
    <xf numFmtId="0" fontId="41" fillId="0" borderId="44" xfId="0" applyFont="1" applyFill="1" applyBorder="1" applyAlignment="1">
      <alignment wrapText="1"/>
    </xf>
    <xf numFmtId="177" fontId="21" fillId="0" borderId="34" xfId="0" applyNumberFormat="1" applyFont="1" applyFill="1" applyBorder="1"/>
    <xf numFmtId="0" fontId="0" fillId="0" borderId="13" xfId="0" applyFont="1" applyFill="1" applyBorder="1" applyAlignment="1">
      <alignment horizontal="center"/>
    </xf>
    <xf numFmtId="177" fontId="10" fillId="0" borderId="13" xfId="0" applyNumberFormat="1" applyFont="1" applyFill="1" applyBorder="1"/>
    <xf numFmtId="0" fontId="30" fillId="0" borderId="0" xfId="0" applyFont="1" applyFill="1" applyBorder="1" applyAlignment="1"/>
    <xf numFmtId="0" fontId="30" fillId="0" borderId="42" xfId="0" applyFont="1" applyFill="1" applyBorder="1" applyAlignment="1">
      <alignment horizontal="center"/>
    </xf>
    <xf numFmtId="3" fontId="0" fillId="0" borderId="41" xfId="0" applyNumberFormat="1" applyFill="1" applyBorder="1" applyAlignment="1">
      <alignment horizontal="center"/>
    </xf>
    <xf numFmtId="3" fontId="0" fillId="0" borderId="42" xfId="0" applyNumberForma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7" fillId="0" borderId="0" xfId="77"/>
    <xf numFmtId="0" fontId="54" fillId="33" borderId="13" xfId="78" applyFont="1" applyFill="1" applyBorder="1" applyAlignment="1">
      <alignment horizontal="center"/>
    </xf>
    <xf numFmtId="0" fontId="54" fillId="33" borderId="13" xfId="78" applyFont="1" applyFill="1" applyBorder="1" applyAlignment="1">
      <alignment horizontal="center" vertical="center"/>
    </xf>
    <xf numFmtId="0" fontId="54" fillId="36" borderId="13" xfId="78" applyFont="1" applyFill="1" applyBorder="1" applyAlignment="1">
      <alignment horizontal="center"/>
    </xf>
    <xf numFmtId="2" fontId="54" fillId="36" borderId="13" xfId="78" applyNumberFormat="1" applyFont="1" applyFill="1" applyBorder="1" applyAlignment="1">
      <alignment horizontal="center" vertical="center"/>
    </xf>
    <xf numFmtId="0" fontId="30" fillId="0" borderId="13" xfId="76" applyFont="1" applyFill="1" applyBorder="1" applyAlignment="1">
      <alignment horizontal="center" vertical="center" wrapText="1"/>
    </xf>
    <xf numFmtId="0" fontId="54" fillId="36" borderId="11" xfId="78" applyFont="1" applyFill="1" applyBorder="1" applyAlignment="1">
      <alignment horizontal="center"/>
    </xf>
    <xf numFmtId="2" fontId="54" fillId="36" borderId="11" xfId="78" applyNumberFormat="1" applyFont="1" applyFill="1" applyBorder="1" applyAlignment="1">
      <alignment horizontal="center" vertical="center"/>
    </xf>
    <xf numFmtId="2" fontId="30" fillId="35" borderId="13" xfId="76" applyNumberFormat="1" applyFont="1" applyFill="1" applyBorder="1" applyAlignment="1">
      <alignment horizontal="center"/>
    </xf>
    <xf numFmtId="1" fontId="30" fillId="35" borderId="13" xfId="76" applyNumberFormat="1" applyFont="1" applyFill="1" applyBorder="1" applyAlignment="1">
      <alignment horizontal="center"/>
    </xf>
    <xf numFmtId="4" fontId="30" fillId="29" borderId="13" xfId="76" applyNumberFormat="1" applyFont="1" applyFill="1" applyBorder="1" applyAlignment="1">
      <alignment horizontal="center"/>
    </xf>
    <xf numFmtId="0" fontId="50" fillId="0" borderId="13" xfId="76" applyFont="1" applyBorder="1" applyAlignment="1">
      <alignment horizontal="center"/>
    </xf>
    <xf numFmtId="0" fontId="10" fillId="0" borderId="13" xfId="76" applyFill="1" applyBorder="1" applyAlignment="1">
      <alignment horizontal="center"/>
    </xf>
    <xf numFmtId="2" fontId="7" fillId="0" borderId="0" xfId="77" applyNumberFormat="1"/>
    <xf numFmtId="0" fontId="7" fillId="0" borderId="13" xfId="77" applyBorder="1"/>
    <xf numFmtId="0" fontId="52" fillId="0" borderId="0" xfId="78" applyFont="1"/>
    <xf numFmtId="0" fontId="7" fillId="0" borderId="13" xfId="77" applyBorder="1" applyAlignment="1">
      <alignment horizontal="center"/>
    </xf>
    <xf numFmtId="2" fontId="30" fillId="29" borderId="13" xfId="76" applyNumberFormat="1" applyFont="1" applyFill="1" applyBorder="1" applyAlignment="1">
      <alignment horizontal="center"/>
    </xf>
    <xf numFmtId="0" fontId="30" fillId="35" borderId="13" xfId="76" applyFont="1" applyFill="1" applyBorder="1" applyAlignment="1">
      <alignment horizontal="center"/>
    </xf>
    <xf numFmtId="0" fontId="30" fillId="29" borderId="13" xfId="76" applyFont="1" applyFill="1" applyBorder="1" applyAlignment="1">
      <alignment horizontal="center"/>
    </xf>
    <xf numFmtId="0" fontId="54" fillId="29" borderId="13" xfId="76" applyFont="1" applyFill="1" applyBorder="1" applyAlignment="1">
      <alignment horizontal="center" vertical="center"/>
    </xf>
    <xf numFmtId="49" fontId="52" fillId="29" borderId="13" xfId="76" applyNumberFormat="1" applyFont="1" applyFill="1" applyBorder="1" applyAlignment="1">
      <alignment horizontal="center"/>
    </xf>
    <xf numFmtId="2" fontId="52" fillId="29" borderId="13" xfId="76" applyNumberFormat="1" applyFont="1" applyFill="1" applyBorder="1" applyAlignment="1">
      <alignment horizontal="center"/>
    </xf>
    <xf numFmtId="196" fontId="30" fillId="35" borderId="13" xfId="76" applyNumberFormat="1" applyFont="1" applyFill="1" applyBorder="1" applyAlignment="1">
      <alignment horizontal="center"/>
    </xf>
    <xf numFmtId="185" fontId="30" fillId="29" borderId="13" xfId="76" applyNumberFormat="1" applyFont="1" applyFill="1" applyBorder="1" applyAlignment="1">
      <alignment horizontal="center"/>
    </xf>
    <xf numFmtId="185" fontId="54" fillId="29" borderId="13" xfId="76" applyNumberFormat="1" applyFont="1" applyFill="1" applyBorder="1" applyAlignment="1">
      <alignment horizontal="center" vertical="center"/>
    </xf>
    <xf numFmtId="196" fontId="30" fillId="35" borderId="13" xfId="79" applyNumberFormat="1" applyFont="1" applyFill="1" applyBorder="1" applyAlignment="1">
      <alignment horizontal="center"/>
    </xf>
    <xf numFmtId="1" fontId="30" fillId="35" borderId="13" xfId="79" applyNumberFormat="1" applyFont="1" applyFill="1" applyBorder="1" applyAlignment="1">
      <alignment horizontal="center"/>
    </xf>
    <xf numFmtId="185" fontId="30" fillId="29" borderId="13" xfId="79" applyNumberFormat="1" applyFont="1" applyFill="1" applyBorder="1" applyAlignment="1">
      <alignment horizontal="center"/>
    </xf>
    <xf numFmtId="0" fontId="7" fillId="0" borderId="13" xfId="77" applyFont="1" applyBorder="1" applyAlignment="1">
      <alignment vertical="center"/>
    </xf>
    <xf numFmtId="0" fontId="54" fillId="0" borderId="13" xfId="78" applyFont="1" applyFill="1" applyBorder="1" applyAlignment="1">
      <alignment horizontal="center" vertical="center"/>
    </xf>
    <xf numFmtId="0" fontId="52" fillId="0" borderId="13" xfId="78" applyFont="1" applyFill="1" applyBorder="1" applyAlignment="1">
      <alignment horizontal="center"/>
    </xf>
    <xf numFmtId="0" fontId="36" fillId="0" borderId="0" xfId="79" applyFont="1" applyFill="1"/>
    <xf numFmtId="181" fontId="36" fillId="0" borderId="28" xfId="79" applyNumberFormat="1" applyFont="1" applyFill="1" applyBorder="1"/>
    <xf numFmtId="0" fontId="35" fillId="0" borderId="0" xfId="79" applyFont="1" applyFill="1" applyAlignment="1">
      <alignment horizontal="center"/>
    </xf>
    <xf numFmtId="0" fontId="36" fillId="0" borderId="55" xfId="79" applyFont="1" applyFill="1" applyBorder="1"/>
    <xf numFmtId="0" fontId="36" fillId="0" borderId="51" xfId="79" applyFont="1" applyFill="1" applyBorder="1" applyAlignment="1">
      <alignment horizontal="center"/>
    </xf>
    <xf numFmtId="0" fontId="36" fillId="0" borderId="53" xfId="79" applyFont="1" applyFill="1" applyBorder="1"/>
    <xf numFmtId="0" fontId="36" fillId="0" borderId="56" xfId="79" applyFont="1" applyFill="1" applyBorder="1" applyAlignment="1">
      <alignment horizontal="center"/>
    </xf>
    <xf numFmtId="181" fontId="36" fillId="0" borderId="52" xfId="79" applyNumberFormat="1" applyFont="1" applyFill="1" applyBorder="1"/>
    <xf numFmtId="0" fontId="36" fillId="0" borderId="61" xfId="79" applyFont="1" applyFill="1" applyBorder="1"/>
    <xf numFmtId="181" fontId="36" fillId="0" borderId="53" xfId="79" applyNumberFormat="1" applyFont="1" applyFill="1" applyBorder="1"/>
    <xf numFmtId="0" fontId="36" fillId="0" borderId="50" xfId="79" applyFont="1" applyFill="1" applyBorder="1"/>
    <xf numFmtId="181" fontId="36" fillId="0" borderId="13" xfId="79" applyNumberFormat="1" applyFont="1" applyFill="1" applyBorder="1"/>
    <xf numFmtId="0" fontId="35" fillId="0" borderId="0" xfId="79" applyFont="1" applyFill="1" applyBorder="1" applyAlignment="1">
      <alignment horizontal="center"/>
    </xf>
    <xf numFmtId="0" fontId="35" fillId="0" borderId="22" xfId="79" applyFont="1" applyFill="1" applyBorder="1" applyAlignment="1">
      <alignment horizontal="center"/>
    </xf>
    <xf numFmtId="0" fontId="35" fillId="0" borderId="24" xfId="79" applyFont="1" applyFill="1" applyBorder="1"/>
    <xf numFmtId="0" fontId="35" fillId="0" borderId="70" xfId="79" applyFont="1" applyFill="1" applyBorder="1" applyAlignment="1">
      <alignment horizontal="center"/>
    </xf>
    <xf numFmtId="181" fontId="35" fillId="0" borderId="23" xfId="79" applyNumberFormat="1" applyFont="1" applyFill="1" applyBorder="1" applyAlignment="1">
      <alignment horizontal="center"/>
    </xf>
    <xf numFmtId="0" fontId="35" fillId="0" borderId="24" xfId="79" applyFont="1" applyFill="1" applyBorder="1" applyAlignment="1">
      <alignment horizontal="center"/>
    </xf>
    <xf numFmtId="181" fontId="35" fillId="0" borderId="22" xfId="79" applyNumberFormat="1" applyFont="1" applyFill="1" applyBorder="1" applyAlignment="1">
      <alignment horizontal="center"/>
    </xf>
    <xf numFmtId="181" fontId="35" fillId="0" borderId="23" xfId="79" applyNumberFormat="1" applyFont="1" applyFill="1" applyBorder="1"/>
    <xf numFmtId="181" fontId="35" fillId="0" borderId="24" xfId="79" applyNumberFormat="1" applyFont="1" applyFill="1" applyBorder="1" applyAlignment="1">
      <alignment horizontal="center"/>
    </xf>
    <xf numFmtId="0" fontId="35" fillId="0" borderId="45" xfId="79" applyFont="1" applyFill="1" applyBorder="1" applyAlignment="1">
      <alignment horizontal="center"/>
    </xf>
    <xf numFmtId="0" fontId="35" fillId="0" borderId="30" xfId="79" applyFont="1" applyFill="1" applyBorder="1"/>
    <xf numFmtId="0" fontId="35" fillId="0" borderId="58" xfId="79" applyFont="1" applyFill="1" applyBorder="1" applyAlignment="1">
      <alignment horizontal="center"/>
    </xf>
    <xf numFmtId="181" fontId="35" fillId="0" borderId="46" xfId="79" applyNumberFormat="1" applyFont="1" applyFill="1" applyBorder="1" applyAlignment="1">
      <alignment horizontal="center"/>
    </xf>
    <xf numFmtId="0" fontId="35" fillId="0" borderId="30" xfId="79" applyFont="1" applyFill="1" applyBorder="1" applyAlignment="1">
      <alignment horizontal="center"/>
    </xf>
    <xf numFmtId="181" fontId="35" fillId="0" borderId="45" xfId="79" applyNumberFormat="1" applyFont="1" applyFill="1" applyBorder="1" applyAlignment="1">
      <alignment horizontal="center"/>
    </xf>
    <xf numFmtId="181" fontId="35" fillId="0" borderId="46" xfId="79" applyNumberFormat="1" applyFont="1" applyFill="1" applyBorder="1"/>
    <xf numFmtId="181" fontId="35" fillId="0" borderId="30" xfId="79" applyNumberFormat="1" applyFont="1" applyFill="1" applyBorder="1" applyAlignment="1">
      <alignment horizontal="center"/>
    </xf>
    <xf numFmtId="0" fontId="10" fillId="0" borderId="0" xfId="79" applyBorder="1" applyAlignment="1">
      <alignment horizontal="center"/>
    </xf>
    <xf numFmtId="181" fontId="36" fillId="0" borderId="51" xfId="79" applyNumberFormat="1" applyFont="1" applyFill="1" applyBorder="1"/>
    <xf numFmtId="0" fontId="36" fillId="0" borderId="52" xfId="79" applyFont="1" applyFill="1" applyBorder="1"/>
    <xf numFmtId="0" fontId="36" fillId="0" borderId="12" xfId="79" applyFont="1" applyFill="1" applyBorder="1"/>
    <xf numFmtId="0" fontId="36" fillId="0" borderId="49" xfId="79" applyFont="1" applyFill="1" applyBorder="1" applyAlignment="1">
      <alignment horizontal="center"/>
    </xf>
    <xf numFmtId="0" fontId="36" fillId="0" borderId="63" xfId="79" applyFont="1" applyFill="1" applyBorder="1"/>
    <xf numFmtId="0" fontId="36" fillId="0" borderId="54" xfId="79" applyFont="1" applyFill="1" applyBorder="1" applyAlignment="1">
      <alignment horizontal="center"/>
    </xf>
    <xf numFmtId="181" fontId="36" fillId="0" borderId="59" xfId="79" applyNumberFormat="1" applyFont="1" applyFill="1" applyBorder="1"/>
    <xf numFmtId="0" fontId="29" fillId="0" borderId="0" xfId="79" applyFont="1" applyBorder="1" applyAlignment="1" applyProtection="1">
      <alignment horizontal="center"/>
    </xf>
    <xf numFmtId="0" fontId="10" fillId="0" borderId="0" xfId="79"/>
    <xf numFmtId="0" fontId="10" fillId="0" borderId="0" xfId="79" applyAlignment="1" applyProtection="1"/>
    <xf numFmtId="0" fontId="10" fillId="0" borderId="0" xfId="79" applyBorder="1" applyAlignment="1" applyProtection="1"/>
    <xf numFmtId="0" fontId="10" fillId="0" borderId="0" xfId="79" applyProtection="1"/>
    <xf numFmtId="0" fontId="30" fillId="0" borderId="0" xfId="79" applyFont="1" applyBorder="1" applyAlignment="1" applyProtection="1">
      <alignment horizontal="right"/>
    </xf>
    <xf numFmtId="0" fontId="10" fillId="0" borderId="39" xfId="79" applyBorder="1" applyProtection="1"/>
    <xf numFmtId="0" fontId="30" fillId="0" borderId="40" xfId="79" applyFont="1" applyBorder="1" applyAlignment="1" applyProtection="1">
      <alignment horizontal="center"/>
    </xf>
    <xf numFmtId="0" fontId="30" fillId="0" borderId="31" xfId="79" applyFont="1" applyBorder="1" applyAlignment="1" applyProtection="1">
      <alignment horizontal="center"/>
    </xf>
    <xf numFmtId="0" fontId="10" fillId="0" borderId="49" xfId="79" applyFont="1" applyBorder="1" applyAlignment="1" applyProtection="1">
      <alignment horizontal="right"/>
    </xf>
    <xf numFmtId="197" fontId="10" fillId="0" borderId="14" xfId="79" applyNumberFormat="1" applyBorder="1" applyProtection="1">
      <protection locked="0"/>
    </xf>
    <xf numFmtId="173" fontId="10" fillId="0" borderId="50" xfId="79" applyNumberFormat="1" applyBorder="1" applyProtection="1"/>
    <xf numFmtId="0" fontId="10" fillId="0" borderId="37" xfId="79" applyFont="1" applyBorder="1" applyAlignment="1" applyProtection="1">
      <alignment horizontal="right"/>
    </xf>
    <xf numFmtId="197" fontId="10" fillId="0" borderId="38" xfId="79" applyNumberFormat="1" applyBorder="1" applyProtection="1">
      <protection locked="0"/>
    </xf>
    <xf numFmtId="173" fontId="10" fillId="0" borderId="34" xfId="79" applyNumberFormat="1" applyBorder="1" applyProtection="1"/>
    <xf numFmtId="198" fontId="10" fillId="0" borderId="0" xfId="79" applyNumberFormat="1" applyProtection="1"/>
    <xf numFmtId="0" fontId="10" fillId="0" borderId="40" xfId="79" applyBorder="1" applyProtection="1"/>
    <xf numFmtId="0" fontId="10" fillId="0" borderId="19" xfId="79" applyBorder="1" applyProtection="1"/>
    <xf numFmtId="0" fontId="10" fillId="0" borderId="76" xfId="79" applyBorder="1" applyProtection="1"/>
    <xf numFmtId="10" fontId="10" fillId="0" borderId="16" xfId="79" applyNumberFormat="1" applyBorder="1" applyProtection="1"/>
    <xf numFmtId="10" fontId="10" fillId="0" borderId="80" xfId="79" applyNumberFormat="1" applyBorder="1" applyProtection="1"/>
    <xf numFmtId="0" fontId="10" fillId="0" borderId="41" xfId="79" applyBorder="1" applyProtection="1"/>
    <xf numFmtId="10" fontId="10" fillId="0" borderId="11" xfId="79" applyNumberFormat="1" applyBorder="1" applyProtection="1"/>
    <xf numFmtId="10" fontId="10" fillId="0" borderId="32" xfId="79" applyNumberFormat="1" applyBorder="1" applyProtection="1"/>
    <xf numFmtId="0" fontId="10" fillId="0" borderId="41" xfId="79" applyBorder="1" applyAlignment="1" applyProtection="1">
      <alignment horizontal="left"/>
    </xf>
    <xf numFmtId="0" fontId="10" fillId="0" borderId="41" xfId="79" applyBorder="1" applyAlignment="1" applyProtection="1">
      <alignment horizontal="right"/>
    </xf>
    <xf numFmtId="10" fontId="10" fillId="0" borderId="32" xfId="79" applyNumberFormat="1" applyFill="1" applyBorder="1" applyProtection="1"/>
    <xf numFmtId="0" fontId="10" fillId="0" borderId="75" xfId="79" applyBorder="1" applyProtection="1"/>
    <xf numFmtId="10" fontId="10" fillId="0" borderId="18" xfId="79" applyNumberFormat="1" applyBorder="1" applyProtection="1"/>
    <xf numFmtId="10" fontId="10" fillId="0" borderId="81" xfId="79" applyNumberFormat="1" applyBorder="1" applyProtection="1"/>
    <xf numFmtId="0" fontId="30" fillId="0" borderId="75" xfId="79" applyFont="1" applyBorder="1" applyAlignment="1" applyProtection="1">
      <alignment horizontal="center"/>
    </xf>
    <xf numFmtId="10" fontId="30" fillId="0" borderId="81" xfId="79" applyNumberFormat="1" applyFont="1" applyBorder="1" applyProtection="1"/>
    <xf numFmtId="0" fontId="10" fillId="0" borderId="10" xfId="79" applyBorder="1" applyProtection="1"/>
    <xf numFmtId="10" fontId="10" fillId="0" borderId="0" xfId="79" applyNumberFormat="1" applyBorder="1" applyProtection="1"/>
    <xf numFmtId="10" fontId="10" fillId="0" borderId="27" xfId="79" applyNumberFormat="1" applyBorder="1" applyProtection="1"/>
    <xf numFmtId="174" fontId="10" fillId="0" borderId="27" xfId="79" applyNumberFormat="1" applyBorder="1" applyProtection="1"/>
    <xf numFmtId="4" fontId="10" fillId="0" borderId="0" xfId="79" applyNumberFormat="1" applyBorder="1" applyAlignment="1" applyProtection="1">
      <alignment horizontal="center"/>
    </xf>
    <xf numFmtId="0" fontId="10" fillId="0" borderId="27" xfId="79" applyBorder="1" applyProtection="1"/>
    <xf numFmtId="0" fontId="10" fillId="0" borderId="0" xfId="79" applyBorder="1" applyProtection="1"/>
    <xf numFmtId="0" fontId="30" fillId="0" borderId="10" xfId="79" applyFont="1" applyBorder="1" applyProtection="1"/>
    <xf numFmtId="10" fontId="30" fillId="0" borderId="27" xfId="79" applyNumberFormat="1" applyFont="1" applyBorder="1" applyAlignment="1" applyProtection="1">
      <alignment horizontal="center"/>
    </xf>
    <xf numFmtId="175" fontId="30" fillId="0" borderId="27" xfId="79" applyNumberFormat="1" applyFont="1" applyBorder="1" applyAlignment="1" applyProtection="1">
      <alignment horizontal="center"/>
    </xf>
    <xf numFmtId="0" fontId="10" fillId="0" borderId="37" xfId="79" applyBorder="1" applyProtection="1"/>
    <xf numFmtId="0" fontId="10" fillId="0" borderId="38" xfId="79" applyBorder="1" applyProtection="1"/>
    <xf numFmtId="0" fontId="10" fillId="0" borderId="34" xfId="79" applyBorder="1" applyProtection="1"/>
    <xf numFmtId="0" fontId="10" fillId="0" borderId="0" xfId="79" applyBorder="1"/>
    <xf numFmtId="0" fontId="10" fillId="0" borderId="11" xfId="79" applyBorder="1"/>
    <xf numFmtId="0" fontId="10" fillId="0" borderId="15" xfId="79" applyBorder="1"/>
    <xf numFmtId="0" fontId="10" fillId="0" borderId="11" xfId="79" applyBorder="1" applyAlignment="1">
      <alignment horizontal="center"/>
    </xf>
    <xf numFmtId="177" fontId="10" fillId="0" borderId="0" xfId="79" applyNumberFormat="1"/>
    <xf numFmtId="4" fontId="10" fillId="0" borderId="11" xfId="79" applyNumberFormat="1" applyBorder="1" applyProtection="1"/>
    <xf numFmtId="176" fontId="10" fillId="0" borderId="0" xfId="79" applyNumberFormat="1" applyBorder="1" applyProtection="1">
      <protection locked="0"/>
    </xf>
    <xf numFmtId="176" fontId="10" fillId="0" borderId="11" xfId="79" applyNumberFormat="1" applyBorder="1"/>
    <xf numFmtId="176" fontId="10" fillId="0" borderId="11" xfId="79" applyNumberFormat="1" applyBorder="1" applyProtection="1">
      <protection locked="0"/>
    </xf>
    <xf numFmtId="0" fontId="30" fillId="0" borderId="12" xfId="79" applyFont="1" applyBorder="1" applyAlignment="1">
      <alignment horizontal="center"/>
    </xf>
    <xf numFmtId="4" fontId="10" fillId="0" borderId="13" xfId="79" applyNumberFormat="1" applyBorder="1"/>
    <xf numFmtId="176" fontId="10" fillId="0" borderId="14" xfId="79" applyNumberFormat="1" applyBorder="1"/>
    <xf numFmtId="176" fontId="30" fillId="0" borderId="13" xfId="79" applyNumberFormat="1" applyFont="1" applyBorder="1"/>
    <xf numFmtId="0" fontId="10" fillId="0" borderId="15" xfId="79" applyBorder="1" applyAlignment="1">
      <alignment horizontal="center"/>
    </xf>
    <xf numFmtId="176" fontId="10" fillId="0" borderId="0" xfId="79" applyNumberFormat="1" applyBorder="1"/>
    <xf numFmtId="4" fontId="10" fillId="0" borderId="13" xfId="79" applyNumberFormat="1" applyBorder="1" applyAlignment="1">
      <alignment horizontal="center"/>
    </xf>
    <xf numFmtId="176" fontId="10" fillId="0" borderId="14" xfId="79" applyNumberFormat="1" applyBorder="1" applyAlignment="1">
      <alignment horizontal="center"/>
    </xf>
    <xf numFmtId="176" fontId="30" fillId="0" borderId="13" xfId="79" applyNumberFormat="1" applyFont="1" applyBorder="1" applyAlignment="1">
      <alignment horizontal="center"/>
    </xf>
    <xf numFmtId="0" fontId="30" fillId="0" borderId="0" xfId="79" applyFont="1" applyBorder="1"/>
    <xf numFmtId="0" fontId="30" fillId="0" borderId="0" xfId="79" applyFont="1" applyBorder="1" applyAlignment="1">
      <alignment horizontal="center"/>
    </xf>
    <xf numFmtId="4" fontId="10" fillId="0" borderId="0" xfId="79" applyNumberFormat="1" applyBorder="1"/>
    <xf numFmtId="176" fontId="30" fillId="0" borderId="0" xfId="79" applyNumberFormat="1" applyFont="1" applyBorder="1"/>
    <xf numFmtId="0" fontId="10" fillId="0" borderId="16" xfId="79" applyBorder="1"/>
    <xf numFmtId="0" fontId="10" fillId="0" borderId="17" xfId="79" applyBorder="1" applyAlignment="1">
      <alignment horizontal="center"/>
    </xf>
    <xf numFmtId="4" fontId="10" fillId="0" borderId="16" xfId="79" applyNumberFormat="1" applyBorder="1"/>
    <xf numFmtId="176" fontId="10" fillId="0" borderId="17" xfId="79" applyNumberFormat="1" applyBorder="1"/>
    <xf numFmtId="176" fontId="10" fillId="0" borderId="16" xfId="79" applyNumberFormat="1" applyBorder="1"/>
    <xf numFmtId="4" fontId="10" fillId="0" borderId="11" xfId="79" applyNumberFormat="1" applyBorder="1"/>
    <xf numFmtId="0" fontId="10" fillId="0" borderId="13" xfId="79" applyBorder="1"/>
    <xf numFmtId="0" fontId="10" fillId="0" borderId="14" xfId="79" applyBorder="1" applyAlignment="1">
      <alignment horizontal="center"/>
    </xf>
    <xf numFmtId="0" fontId="30" fillId="0" borderId="18" xfId="79" applyFont="1" applyBorder="1"/>
    <xf numFmtId="0" fontId="10" fillId="0" borderId="19" xfId="79" applyBorder="1"/>
    <xf numFmtId="176" fontId="10" fillId="0" borderId="19" xfId="79" applyNumberFormat="1" applyBorder="1"/>
    <xf numFmtId="176" fontId="30" fillId="0" borderId="18" xfId="79" applyNumberFormat="1" applyFont="1" applyBorder="1"/>
    <xf numFmtId="4" fontId="10" fillId="0" borderId="15" xfId="79" applyNumberFormat="1" applyBorder="1"/>
    <xf numFmtId="176" fontId="10" fillId="0" borderId="13" xfId="79" applyNumberFormat="1" applyBorder="1"/>
    <xf numFmtId="176" fontId="10" fillId="0" borderId="18" xfId="79" applyNumberFormat="1" applyBorder="1"/>
    <xf numFmtId="4" fontId="10" fillId="0" borderId="12" xfId="79" applyNumberFormat="1" applyBorder="1"/>
    <xf numFmtId="176" fontId="10" fillId="0" borderId="17" xfId="79" applyNumberFormat="1" applyBorder="1" applyProtection="1"/>
    <xf numFmtId="176" fontId="10" fillId="0" borderId="0" xfId="79" applyNumberFormat="1" applyBorder="1" applyProtection="1"/>
    <xf numFmtId="176" fontId="10" fillId="0" borderId="0" xfId="79" applyNumberFormat="1"/>
    <xf numFmtId="0" fontId="30" fillId="0" borderId="13" xfId="79" applyFont="1" applyBorder="1" applyAlignment="1">
      <alignment horizontal="center"/>
    </xf>
    <xf numFmtId="0" fontId="30" fillId="0" borderId="14" xfId="79" applyFont="1" applyBorder="1" applyAlignment="1">
      <alignment horizontal="center"/>
    </xf>
    <xf numFmtId="0" fontId="10" fillId="0" borderId="20" xfId="79" applyBorder="1"/>
    <xf numFmtId="0" fontId="10" fillId="0" borderId="21" xfId="79" applyBorder="1"/>
    <xf numFmtId="0" fontId="10" fillId="0" borderId="15" xfId="79" applyBorder="1" applyAlignment="1">
      <alignment horizontal="right"/>
    </xf>
    <xf numFmtId="0" fontId="10" fillId="0" borderId="12" xfId="79" applyBorder="1" applyAlignment="1">
      <alignment horizontal="right"/>
    </xf>
    <xf numFmtId="178" fontId="10" fillId="0" borderId="14" xfId="79" applyNumberFormat="1" applyBorder="1"/>
    <xf numFmtId="0" fontId="30" fillId="0" borderId="12" xfId="79" applyFont="1" applyBorder="1" applyAlignment="1">
      <alignment horizontal="right"/>
    </xf>
    <xf numFmtId="179" fontId="30" fillId="0" borderId="20" xfId="79" applyNumberFormat="1" applyFont="1" applyBorder="1"/>
    <xf numFmtId="0" fontId="31" fillId="0" borderId="12" xfId="79" applyFont="1" applyBorder="1"/>
    <xf numFmtId="0" fontId="10" fillId="0" borderId="14" xfId="79" applyBorder="1"/>
    <xf numFmtId="0" fontId="10" fillId="0" borderId="0" xfId="79" applyBorder="1" applyProtection="1">
      <protection locked="0"/>
    </xf>
    <xf numFmtId="0" fontId="10" fillId="0" borderId="0" xfId="79" applyProtection="1">
      <protection locked="0"/>
    </xf>
    <xf numFmtId="0" fontId="30" fillId="0" borderId="22" xfId="79" applyFont="1" applyBorder="1" applyAlignment="1" applyProtection="1">
      <alignment horizontal="center"/>
      <protection locked="0"/>
    </xf>
    <xf numFmtId="0" fontId="30" fillId="0" borderId="23" xfId="79" applyFont="1" applyBorder="1" applyAlignment="1" applyProtection="1">
      <alignment horizontal="center"/>
      <protection locked="0"/>
    </xf>
    <xf numFmtId="0" fontId="30" fillId="0" borderId="24" xfId="79" applyFont="1" applyBorder="1" applyAlignment="1" applyProtection="1">
      <alignment horizontal="center"/>
      <protection locked="0"/>
    </xf>
    <xf numFmtId="0" fontId="10" fillId="0" borderId="25" xfId="79" applyBorder="1" applyProtection="1"/>
    <xf numFmtId="0" fontId="10" fillId="0" borderId="17" xfId="79" applyBorder="1" applyAlignment="1" applyProtection="1">
      <alignment horizontal="center"/>
    </xf>
    <xf numFmtId="4" fontId="10" fillId="0" borderId="16" xfId="79" applyNumberFormat="1" applyBorder="1" applyProtection="1"/>
    <xf numFmtId="180" fontId="10" fillId="0" borderId="17" xfId="79" applyNumberFormat="1" applyBorder="1" applyProtection="1">
      <protection locked="0"/>
    </xf>
    <xf numFmtId="176" fontId="10" fillId="0" borderId="26" xfId="79" applyNumberFormat="1" applyBorder="1" applyProtection="1">
      <protection locked="0"/>
    </xf>
    <xf numFmtId="0" fontId="10" fillId="24" borderId="10" xfId="79" applyFill="1" applyBorder="1" applyProtection="1"/>
    <xf numFmtId="0" fontId="10" fillId="24" borderId="0" xfId="79" applyFill="1" applyBorder="1" applyAlignment="1" applyProtection="1">
      <alignment horizontal="center"/>
    </xf>
    <xf numFmtId="4" fontId="10" fillId="24" borderId="11" xfId="79" applyNumberFormat="1" applyFill="1" applyBorder="1" applyProtection="1"/>
    <xf numFmtId="180" fontId="10" fillId="24" borderId="0" xfId="79" applyNumberFormat="1" applyFill="1" applyBorder="1" applyProtection="1">
      <protection locked="0"/>
    </xf>
    <xf numFmtId="176" fontId="10" fillId="24" borderId="27" xfId="79" applyNumberFormat="1" applyFill="1" applyBorder="1" applyProtection="1">
      <protection locked="0"/>
    </xf>
    <xf numFmtId="0" fontId="10" fillId="0" borderId="0" xfId="79" applyBorder="1" applyAlignment="1" applyProtection="1">
      <alignment horizontal="center"/>
    </xf>
    <xf numFmtId="180" fontId="10" fillId="0" borderId="0" xfId="79" applyNumberFormat="1" applyBorder="1" applyProtection="1">
      <protection locked="0"/>
    </xf>
    <xf numFmtId="176" fontId="10" fillId="0" borderId="27" xfId="79" applyNumberFormat="1" applyBorder="1" applyProtection="1">
      <protection locked="0"/>
    </xf>
    <xf numFmtId="0" fontId="30" fillId="0" borderId="22" xfId="79" applyFont="1" applyBorder="1" applyProtection="1">
      <protection locked="0"/>
    </xf>
    <xf numFmtId="0" fontId="10" fillId="0" borderId="28" xfId="79" applyBorder="1" applyProtection="1">
      <protection locked="0"/>
    </xf>
    <xf numFmtId="176" fontId="10" fillId="0" borderId="28" xfId="79" applyNumberFormat="1" applyBorder="1" applyProtection="1">
      <protection locked="0"/>
    </xf>
    <xf numFmtId="176" fontId="30" fillId="0" borderId="24" xfId="79" applyNumberFormat="1" applyFont="1" applyBorder="1" applyProtection="1">
      <protection locked="0"/>
    </xf>
    <xf numFmtId="0" fontId="10" fillId="0" borderId="29" xfId="79" applyBorder="1" applyAlignment="1" applyProtection="1">
      <alignment horizontal="center"/>
    </xf>
    <xf numFmtId="4" fontId="10" fillId="0" borderId="29" xfId="79" applyNumberFormat="1" applyBorder="1" applyProtection="1"/>
    <xf numFmtId="180" fontId="10" fillId="0" borderId="30" xfId="79" applyNumberFormat="1" applyBorder="1" applyProtection="1">
      <protection locked="0"/>
    </xf>
    <xf numFmtId="176" fontId="10" fillId="0" borderId="31" xfId="79" applyNumberFormat="1" applyBorder="1" applyProtection="1">
      <protection locked="0"/>
    </xf>
    <xf numFmtId="0" fontId="10" fillId="24" borderId="15" xfId="79" applyFill="1" applyBorder="1" applyAlignment="1" applyProtection="1">
      <alignment horizontal="center"/>
    </xf>
    <xf numFmtId="4" fontId="10" fillId="24" borderId="15" xfId="79" applyNumberFormat="1" applyFill="1" applyBorder="1" applyProtection="1"/>
    <xf numFmtId="180" fontId="10" fillId="24" borderId="27" xfId="79" applyNumberFormat="1" applyFill="1" applyBorder="1" applyProtection="1">
      <protection locked="0"/>
    </xf>
    <xf numFmtId="176" fontId="10" fillId="24" borderId="32" xfId="79" applyNumberFormat="1" applyFill="1" applyBorder="1" applyProtection="1">
      <protection locked="0"/>
    </xf>
    <xf numFmtId="0" fontId="10" fillId="0" borderId="15" xfId="79" applyBorder="1" applyAlignment="1" applyProtection="1">
      <alignment horizontal="center"/>
    </xf>
    <xf numFmtId="4" fontId="10" fillId="0" borderId="15" xfId="79" applyNumberFormat="1" applyBorder="1" applyProtection="1"/>
    <xf numFmtId="180" fontId="10" fillId="0" borderId="27" xfId="79" applyNumberFormat="1" applyBorder="1" applyProtection="1">
      <protection locked="0"/>
    </xf>
    <xf numFmtId="176" fontId="10" fillId="0" borderId="32" xfId="79" applyNumberFormat="1" applyBorder="1" applyProtection="1">
      <protection locked="0"/>
    </xf>
    <xf numFmtId="0" fontId="10" fillId="0" borderId="33" xfId="79" applyBorder="1" applyAlignment="1" applyProtection="1">
      <alignment horizontal="center"/>
    </xf>
    <xf numFmtId="4" fontId="10" fillId="0" borderId="33" xfId="79" applyNumberFormat="1" applyBorder="1" applyProtection="1"/>
    <xf numFmtId="180" fontId="10" fillId="0" borderId="34" xfId="79" applyNumberFormat="1" applyBorder="1" applyProtection="1">
      <protection locked="0"/>
    </xf>
    <xf numFmtId="0" fontId="10" fillId="0" borderId="25" xfId="79" applyFill="1" applyBorder="1" applyProtection="1"/>
    <xf numFmtId="0" fontId="10" fillId="0" borderId="29" xfId="79" applyFill="1" applyBorder="1" applyAlignment="1" applyProtection="1">
      <alignment horizontal="center"/>
    </xf>
    <xf numFmtId="4" fontId="10" fillId="0" borderId="29" xfId="79" applyNumberFormat="1" applyFill="1" applyBorder="1" applyProtection="1"/>
    <xf numFmtId="180" fontId="10" fillId="0" borderId="30" xfId="79" applyNumberFormat="1" applyFill="1" applyBorder="1" applyProtection="1">
      <protection locked="0"/>
    </xf>
    <xf numFmtId="176" fontId="10" fillId="0" borderId="31" xfId="79" applyNumberFormat="1" applyFill="1" applyBorder="1" applyProtection="1">
      <protection locked="0"/>
    </xf>
    <xf numFmtId="0" fontId="10" fillId="0" borderId="25" xfId="79" applyBorder="1" applyProtection="1">
      <protection locked="0"/>
    </xf>
    <xf numFmtId="0" fontId="10" fillId="0" borderId="17" xfId="79" applyBorder="1" applyAlignment="1" applyProtection="1">
      <alignment horizontal="center"/>
      <protection locked="0"/>
    </xf>
    <xf numFmtId="4" fontId="10" fillId="0" borderId="16" xfId="79" applyNumberFormat="1" applyBorder="1" applyProtection="1">
      <protection locked="0"/>
    </xf>
    <xf numFmtId="0" fontId="10" fillId="24" borderId="10" xfId="79" applyFill="1" applyBorder="1" applyProtection="1">
      <protection locked="0"/>
    </xf>
    <xf numFmtId="0" fontId="10" fillId="24" borderId="0" xfId="79" applyFill="1" applyBorder="1" applyAlignment="1" applyProtection="1">
      <alignment horizontal="center"/>
      <protection locked="0"/>
    </xf>
    <xf numFmtId="4" fontId="10" fillId="24" borderId="11" xfId="79" applyNumberFormat="1" applyFill="1" applyBorder="1" applyProtection="1">
      <protection locked="0"/>
    </xf>
    <xf numFmtId="0" fontId="10" fillId="0" borderId="10" xfId="79" applyBorder="1" applyProtection="1">
      <protection locked="0"/>
    </xf>
    <xf numFmtId="0" fontId="10" fillId="0" borderId="0" xfId="79" applyBorder="1" applyAlignment="1" applyProtection="1">
      <alignment horizontal="center"/>
      <protection locked="0"/>
    </xf>
    <xf numFmtId="4" fontId="10" fillId="0" borderId="11" xfId="79" applyNumberFormat="1" applyBorder="1" applyProtection="1">
      <protection locked="0"/>
    </xf>
    <xf numFmtId="0" fontId="10" fillId="0" borderId="16" xfId="79" applyBorder="1" applyProtection="1"/>
    <xf numFmtId="176" fontId="10" fillId="0" borderId="16" xfId="79" applyNumberFormat="1" applyBorder="1" applyProtection="1">
      <protection locked="0"/>
    </xf>
    <xf numFmtId="0" fontId="10" fillId="24" borderId="11" xfId="79" applyFill="1" applyBorder="1" applyProtection="1"/>
    <xf numFmtId="176" fontId="10" fillId="24" borderId="11" xfId="79" applyNumberFormat="1" applyFill="1" applyBorder="1" applyProtection="1">
      <protection locked="0"/>
    </xf>
    <xf numFmtId="0" fontId="10" fillId="0" borderId="35" xfId="79" applyBorder="1" applyProtection="1"/>
    <xf numFmtId="0" fontId="10" fillId="0" borderId="19" xfId="79" applyBorder="1" applyAlignment="1" applyProtection="1">
      <alignment horizontal="center"/>
    </xf>
    <xf numFmtId="4" fontId="10" fillId="0" borderId="18" xfId="79" applyNumberFormat="1" applyBorder="1" applyProtection="1"/>
    <xf numFmtId="180" fontId="10" fillId="0" borderId="19" xfId="79" applyNumberFormat="1" applyBorder="1" applyProtection="1">
      <protection locked="0"/>
    </xf>
    <xf numFmtId="176" fontId="10" fillId="0" borderId="36" xfId="79" applyNumberFormat="1" applyBorder="1" applyProtection="1">
      <protection locked="0"/>
    </xf>
    <xf numFmtId="0" fontId="30" fillId="0" borderId="37" xfId="79" applyFont="1" applyBorder="1" applyProtection="1">
      <protection locked="0"/>
    </xf>
    <xf numFmtId="0" fontId="10" fillId="0" borderId="38" xfId="79" applyBorder="1" applyProtection="1">
      <protection locked="0"/>
    </xf>
    <xf numFmtId="176" fontId="10" fillId="0" borderId="38" xfId="79" applyNumberFormat="1" applyBorder="1" applyProtection="1">
      <protection locked="0"/>
    </xf>
    <xf numFmtId="176" fontId="30" fillId="0" borderId="34" xfId="79" applyNumberFormat="1" applyFont="1" applyBorder="1" applyProtection="1">
      <protection locked="0"/>
    </xf>
    <xf numFmtId="0" fontId="40" fillId="56" borderId="49" xfId="122" applyFont="1" applyFill="1" applyBorder="1" applyAlignment="1">
      <alignment horizontal="center"/>
    </xf>
    <xf numFmtId="17" fontId="40" fillId="56" borderId="49" xfId="122" applyNumberFormat="1" applyFont="1" applyFill="1" applyBorder="1" applyAlignment="1">
      <alignment horizontal="center"/>
    </xf>
    <xf numFmtId="0" fontId="40" fillId="28" borderId="49" xfId="122" applyFont="1" applyFill="1" applyBorder="1" applyAlignment="1">
      <alignment horizontal="center"/>
    </xf>
    <xf numFmtId="0" fontId="40" fillId="28" borderId="35" xfId="122" applyFont="1" applyFill="1" applyBorder="1" applyAlignment="1">
      <alignment horizontal="center"/>
    </xf>
    <xf numFmtId="0" fontId="40" fillId="48" borderId="49" xfId="122" applyFont="1" applyFill="1" applyBorder="1" applyAlignment="1">
      <alignment horizontal="center"/>
    </xf>
    <xf numFmtId="17" fontId="40" fillId="32" borderId="49" xfId="122" applyNumberFormat="1" applyFont="1" applyFill="1" applyBorder="1" applyAlignment="1">
      <alignment horizontal="center"/>
    </xf>
    <xf numFmtId="0" fontId="40" fillId="32" borderId="49" xfId="122" applyFont="1" applyFill="1" applyBorder="1" applyAlignment="1">
      <alignment horizontal="center"/>
    </xf>
    <xf numFmtId="0" fontId="40" fillId="30" borderId="20" xfId="122" applyFont="1" applyFill="1" applyBorder="1" applyAlignment="1">
      <alignment horizontal="center"/>
    </xf>
    <xf numFmtId="0" fontId="40" fillId="45" borderId="20" xfId="122" applyFont="1" applyFill="1" applyBorder="1" applyAlignment="1">
      <alignment horizontal="center"/>
    </xf>
    <xf numFmtId="0" fontId="40" fillId="46" borderId="20" xfId="122" applyFont="1" applyFill="1" applyBorder="1" applyAlignment="1">
      <alignment horizontal="center"/>
    </xf>
    <xf numFmtId="0" fontId="40" fillId="0" borderId="49" xfId="122" applyFont="1" applyFill="1" applyBorder="1" applyAlignment="1">
      <alignment horizontal="center"/>
    </xf>
    <xf numFmtId="0" fontId="40" fillId="49" borderId="49" xfId="122" applyFont="1" applyFill="1" applyBorder="1" applyAlignment="1">
      <alignment horizontal="center"/>
    </xf>
    <xf numFmtId="0" fontId="40" fillId="50" borderId="49" xfId="122" applyFont="1" applyFill="1" applyBorder="1" applyAlignment="1">
      <alignment horizontal="center"/>
    </xf>
    <xf numFmtId="0" fontId="40" fillId="57" borderId="49" xfId="122" applyFont="1" applyFill="1" applyBorder="1" applyAlignment="1">
      <alignment horizontal="center"/>
    </xf>
    <xf numFmtId="0" fontId="40" fillId="38" borderId="49" xfId="122" applyFont="1" applyFill="1" applyBorder="1" applyAlignment="1">
      <alignment horizontal="center"/>
    </xf>
    <xf numFmtId="0" fontId="40" fillId="31" borderId="49" xfId="122" applyFont="1" applyFill="1" applyBorder="1" applyAlignment="1">
      <alignment horizontal="center"/>
    </xf>
    <xf numFmtId="0" fontId="40" fillId="58" borderId="49" xfId="122" applyFont="1" applyFill="1" applyBorder="1" applyAlignment="1">
      <alignment horizontal="center"/>
    </xf>
    <xf numFmtId="0" fontId="40" fillId="55" borderId="49" xfId="122" applyFont="1" applyFill="1" applyBorder="1" applyAlignment="1">
      <alignment horizontal="center"/>
    </xf>
    <xf numFmtId="0" fontId="40" fillId="59" borderId="49" xfId="122" applyFont="1" applyFill="1" applyBorder="1" applyAlignment="1">
      <alignment horizontal="center"/>
    </xf>
    <xf numFmtId="0" fontId="40" fillId="34" borderId="13" xfId="122" applyFont="1" applyFill="1" applyBorder="1" applyAlignment="1">
      <alignment horizontal="center"/>
    </xf>
    <xf numFmtId="0" fontId="40" fillId="32" borderId="13" xfId="122" applyFont="1" applyFill="1" applyBorder="1" applyAlignment="1">
      <alignment horizontal="center"/>
    </xf>
    <xf numFmtId="0" fontId="40" fillId="54" borderId="13" xfId="122" applyFont="1" applyFill="1" applyBorder="1" applyAlignment="1">
      <alignment horizontal="center"/>
    </xf>
    <xf numFmtId="0" fontId="40" fillId="60" borderId="13" xfId="122" applyFont="1" applyFill="1" applyBorder="1" applyAlignment="1">
      <alignment horizontal="center"/>
    </xf>
    <xf numFmtId="0" fontId="40" fillId="28" borderId="13" xfId="122" applyFont="1" applyFill="1" applyBorder="1" applyAlignment="1">
      <alignment horizontal="center"/>
    </xf>
    <xf numFmtId="0" fontId="40" fillId="33" borderId="13" xfId="122" applyFont="1" applyFill="1" applyBorder="1" applyAlignment="1">
      <alignment horizontal="center"/>
    </xf>
    <xf numFmtId="0" fontId="40" fillId="61" borderId="13" xfId="122" applyFont="1" applyFill="1" applyBorder="1" applyAlignment="1">
      <alignment horizontal="center"/>
    </xf>
    <xf numFmtId="0" fontId="40" fillId="62" borderId="13" xfId="122" applyFont="1" applyFill="1" applyBorder="1" applyAlignment="1">
      <alignment horizontal="center"/>
    </xf>
    <xf numFmtId="0" fontId="56" fillId="63" borderId="13" xfId="122" applyFont="1" applyFill="1" applyBorder="1" applyAlignment="1">
      <alignment horizontal="center"/>
    </xf>
    <xf numFmtId="0" fontId="40" fillId="64" borderId="13" xfId="122" applyFont="1" applyFill="1" applyBorder="1" applyAlignment="1">
      <alignment horizontal="center"/>
    </xf>
    <xf numFmtId="0" fontId="58" fillId="65" borderId="13" xfId="122" applyFont="1" applyFill="1" applyBorder="1" applyAlignment="1">
      <alignment horizontal="center"/>
    </xf>
    <xf numFmtId="0" fontId="40" fillId="66" borderId="13" xfId="122" applyFont="1" applyFill="1" applyBorder="1" applyAlignment="1">
      <alignment horizontal="center"/>
    </xf>
    <xf numFmtId="0" fontId="59" fillId="67" borderId="13" xfId="122" applyFont="1" applyFill="1" applyBorder="1" applyAlignment="1">
      <alignment horizontal="center"/>
    </xf>
    <xf numFmtId="0" fontId="40" fillId="0" borderId="13" xfId="122" applyFont="1" applyFill="1" applyBorder="1" applyAlignment="1">
      <alignment horizontal="center"/>
    </xf>
    <xf numFmtId="0" fontId="40" fillId="0" borderId="11" xfId="122" applyFont="1" applyFill="1" applyBorder="1" applyAlignment="1">
      <alignment horizontal="center"/>
    </xf>
    <xf numFmtId="0" fontId="40" fillId="30" borderId="13" xfId="122" applyFont="1" applyFill="1" applyBorder="1" applyAlignment="1">
      <alignment horizontal="center"/>
    </xf>
    <xf numFmtId="1" fontId="0" fillId="0" borderId="13" xfId="0" applyNumberFormat="1" applyFill="1" applyBorder="1" applyAlignment="1">
      <alignment horizontal="center"/>
    </xf>
    <xf numFmtId="1" fontId="0" fillId="0" borderId="13" xfId="117" applyNumberFormat="1" applyFont="1" applyFill="1" applyBorder="1" applyAlignment="1">
      <alignment horizontal="center" vertical="center"/>
    </xf>
    <xf numFmtId="187" fontId="0" fillId="0" borderId="13" xfId="0" applyNumberFormat="1" applyFill="1" applyBorder="1" applyAlignment="1">
      <alignment horizontal="center"/>
    </xf>
    <xf numFmtId="0" fontId="0" fillId="0" borderId="13" xfId="0" applyBorder="1" applyAlignment="1">
      <alignment horizontal="center"/>
    </xf>
    <xf numFmtId="187" fontId="0" fillId="69" borderId="13" xfId="0" applyNumberFormat="1" applyFill="1" applyBorder="1" applyAlignment="1">
      <alignment horizontal="center"/>
    </xf>
    <xf numFmtId="4" fontId="30" fillId="28" borderId="18" xfId="125" applyNumberFormat="1" applyFont="1" applyFill="1" applyBorder="1" applyAlignment="1">
      <alignment horizontal="center"/>
    </xf>
    <xf numFmtId="4" fontId="30" fillId="28" borderId="13" xfId="125" applyNumberFormat="1" applyFont="1" applyFill="1" applyBorder="1" applyAlignment="1">
      <alignment horizontal="center"/>
    </xf>
    <xf numFmtId="2" fontId="30" fillId="28" borderId="13" xfId="125" applyNumberFormat="1" applyFont="1" applyFill="1" applyBorder="1" applyAlignment="1">
      <alignment horizontal="center"/>
    </xf>
    <xf numFmtId="0" fontId="54" fillId="28" borderId="13" xfId="125" applyFont="1" applyFill="1" applyBorder="1" applyAlignment="1">
      <alignment horizontal="center"/>
    </xf>
    <xf numFmtId="0" fontId="30" fillId="28" borderId="13" xfId="125" applyFont="1" applyFill="1" applyBorder="1" applyAlignment="1">
      <alignment horizontal="center"/>
    </xf>
    <xf numFmtId="9" fontId="30" fillId="38" borderId="13" xfId="62" applyFont="1" applyFill="1" applyBorder="1" applyAlignment="1">
      <alignment horizontal="center"/>
    </xf>
    <xf numFmtId="9" fontId="30" fillId="35" borderId="50" xfId="62" applyFont="1" applyFill="1" applyBorder="1" applyAlignment="1">
      <alignment horizontal="center"/>
    </xf>
    <xf numFmtId="0" fontId="0" fillId="43" borderId="41" xfId="0" applyFill="1" applyBorder="1" applyAlignment="1">
      <alignment horizontal="center"/>
    </xf>
    <xf numFmtId="0" fontId="0" fillId="43" borderId="0" xfId="0" applyFill="1" applyBorder="1" applyAlignment="1">
      <alignment horizontal="center"/>
    </xf>
    <xf numFmtId="177" fontId="0" fillId="43" borderId="27" xfId="0" applyNumberFormat="1" applyFill="1" applyBorder="1" applyProtection="1">
      <protection locked="0"/>
    </xf>
    <xf numFmtId="0" fontId="0" fillId="43" borderId="0" xfId="0" applyFill="1"/>
    <xf numFmtId="0" fontId="10" fillId="43" borderId="41" xfId="0" applyFont="1" applyFill="1" applyBorder="1" applyAlignment="1">
      <alignment horizontal="center"/>
    </xf>
    <xf numFmtId="0" fontId="10" fillId="43" borderId="11" xfId="0" applyFont="1" applyFill="1" applyBorder="1"/>
    <xf numFmtId="0" fontId="41" fillId="43" borderId="11" xfId="0" applyFont="1" applyFill="1" applyBorder="1" applyAlignment="1">
      <alignment wrapText="1"/>
    </xf>
    <xf numFmtId="0" fontId="0" fillId="43" borderId="11" xfId="0" applyFill="1" applyBorder="1" applyAlignment="1">
      <alignment horizontal="center"/>
    </xf>
    <xf numFmtId="177" fontId="21" fillId="43" borderId="27" xfId="0" applyNumberFormat="1" applyFont="1" applyFill="1" applyBorder="1"/>
    <xf numFmtId="0" fontId="0" fillId="43" borderId="39" xfId="0" applyFill="1" applyBorder="1" applyAlignment="1">
      <alignment horizontal="center"/>
    </xf>
    <xf numFmtId="0" fontId="41" fillId="43" borderId="46" xfId="0" applyFont="1" applyFill="1" applyBorder="1" applyAlignment="1">
      <alignment wrapText="1"/>
    </xf>
    <xf numFmtId="177" fontId="21" fillId="0" borderId="30" xfId="0" applyNumberFormat="1" applyFont="1" applyFill="1" applyBorder="1"/>
    <xf numFmtId="0" fontId="10" fillId="43" borderId="42" xfId="0" applyFont="1" applyFill="1" applyBorder="1" applyAlignment="1">
      <alignment horizontal="center"/>
    </xf>
    <xf numFmtId="0" fontId="41" fillId="43" borderId="44" xfId="0" applyFont="1" applyFill="1" applyBorder="1" applyAlignment="1">
      <alignment wrapText="1"/>
    </xf>
    <xf numFmtId="0" fontId="52" fillId="44" borderId="13" xfId="307" applyFont="1" applyFill="1" applyBorder="1" applyAlignment="1">
      <alignment horizontal="center" vertical="center"/>
    </xf>
    <xf numFmtId="0" fontId="60" fillId="44" borderId="13" xfId="307" applyFont="1" applyFill="1" applyBorder="1" applyAlignment="1">
      <alignment vertical="center"/>
    </xf>
    <xf numFmtId="0" fontId="60" fillId="44" borderId="13" xfId="307" applyFont="1" applyFill="1" applyBorder="1" applyAlignment="1">
      <alignment horizontal="center" vertical="center"/>
    </xf>
    <xf numFmtId="0" fontId="60" fillId="44" borderId="13" xfId="307" applyFont="1" applyFill="1" applyBorder="1" applyAlignment="1">
      <alignment horizontal="center" vertical="center" wrapText="1"/>
    </xf>
    <xf numFmtId="0" fontId="52" fillId="44" borderId="13" xfId="307" applyFont="1" applyFill="1" applyBorder="1" applyAlignment="1">
      <alignment horizontal="center" vertical="center" wrapText="1"/>
    </xf>
    <xf numFmtId="0" fontId="6" fillId="35" borderId="13" xfId="307" applyFill="1" applyBorder="1"/>
    <xf numFmtId="0" fontId="61" fillId="35" borderId="13" xfId="307" applyFont="1" applyFill="1" applyBorder="1" applyAlignment="1">
      <alignment horizontal="center"/>
    </xf>
    <xf numFmtId="0" fontId="61" fillId="35" borderId="13" xfId="307" applyFont="1" applyFill="1" applyBorder="1"/>
    <xf numFmtId="0" fontId="6" fillId="35" borderId="13" xfId="307" applyFill="1" applyBorder="1" applyAlignment="1">
      <alignment horizontal="center"/>
    </xf>
    <xf numFmtId="0" fontId="6" fillId="0" borderId="0" xfId="307" applyBorder="1"/>
    <xf numFmtId="1" fontId="6" fillId="0" borderId="0" xfId="307" applyNumberFormat="1" applyBorder="1" applyAlignment="1">
      <alignment horizontal="center"/>
    </xf>
    <xf numFmtId="0" fontId="6" fillId="44" borderId="0" xfId="307" applyFill="1" applyBorder="1"/>
    <xf numFmtId="0" fontId="6" fillId="35" borderId="0" xfId="307" applyFill="1" applyBorder="1"/>
    <xf numFmtId="0" fontId="43" fillId="0" borderId="10" xfId="55" applyFont="1" applyBorder="1" applyAlignment="1">
      <alignment horizontal="center"/>
    </xf>
    <xf numFmtId="0" fontId="52" fillId="0" borderId="16" xfId="78" applyFont="1" applyBorder="1" applyAlignment="1">
      <alignment vertical="center" textRotation="90"/>
    </xf>
    <xf numFmtId="0" fontId="52" fillId="0" borderId="11" xfId="78" applyFont="1" applyBorder="1" applyAlignment="1">
      <alignment vertical="center" textRotation="90"/>
    </xf>
    <xf numFmtId="0" fontId="52" fillId="0" borderId="18" xfId="78" applyFont="1" applyBorder="1" applyAlignment="1">
      <alignment vertical="center" textRotation="90"/>
    </xf>
    <xf numFmtId="0" fontId="60" fillId="0" borderId="13" xfId="307" applyFont="1" applyFill="1" applyBorder="1" applyAlignment="1">
      <alignment horizontal="center" vertical="center"/>
    </xf>
    <xf numFmtId="0" fontId="61" fillId="0" borderId="13" xfId="307" applyFont="1" applyFill="1" applyBorder="1" applyAlignment="1">
      <alignment horizontal="center"/>
    </xf>
    <xf numFmtId="1" fontId="61" fillId="0" borderId="13" xfId="307" applyNumberFormat="1" applyFont="1" applyFill="1" applyBorder="1" applyAlignment="1">
      <alignment horizontal="center"/>
    </xf>
    <xf numFmtId="0" fontId="6" fillId="0" borderId="0" xfId="307" applyBorder="1" applyAlignment="1">
      <alignment horizontal="center"/>
    </xf>
    <xf numFmtId="0" fontId="6" fillId="56" borderId="13" xfId="307" applyFill="1" applyBorder="1" applyAlignment="1">
      <alignment horizontal="center"/>
    </xf>
    <xf numFmtId="0" fontId="6" fillId="70" borderId="13" xfId="307" applyFill="1" applyBorder="1" applyAlignment="1">
      <alignment horizontal="center"/>
    </xf>
    <xf numFmtId="0" fontId="21" fillId="0" borderId="13" xfId="55" applyBorder="1" applyAlignment="1">
      <alignment horizontal="center"/>
    </xf>
    <xf numFmtId="0" fontId="10" fillId="0" borderId="0" xfId="0" applyFont="1"/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0" fillId="0" borderId="13" xfId="0" applyFont="1" applyFill="1" applyBorder="1" applyAlignment="1">
      <alignment vertical="center" wrapText="1"/>
    </xf>
    <xf numFmtId="0" fontId="10" fillId="0" borderId="13" xfId="0" applyFont="1" applyBorder="1"/>
    <xf numFmtId="0" fontId="52" fillId="0" borderId="13" xfId="0" applyFont="1" applyBorder="1" applyAlignment="1">
      <alignment horizontal="center" vertical="center"/>
    </xf>
    <xf numFmtId="0" fontId="52" fillId="0" borderId="13" xfId="0" applyFon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0" fontId="0" fillId="37" borderId="13" xfId="0" applyFill="1" applyBorder="1" applyAlignment="1">
      <alignment horizontal="center"/>
    </xf>
    <xf numFmtId="0" fontId="0" fillId="28" borderId="13" xfId="0" applyFill="1" applyBorder="1" applyAlignment="1">
      <alignment horizontal="center"/>
    </xf>
    <xf numFmtId="0" fontId="0" fillId="47" borderId="13" xfId="0" applyFill="1" applyBorder="1" applyAlignment="1">
      <alignment horizontal="center"/>
    </xf>
    <xf numFmtId="0" fontId="0" fillId="45" borderId="13" xfId="0" applyFill="1" applyBorder="1" applyAlignment="1">
      <alignment horizontal="center"/>
    </xf>
    <xf numFmtId="181" fontId="36" fillId="0" borderId="28" xfId="0" applyNumberFormat="1" applyFont="1" applyFill="1" applyBorder="1"/>
    <xf numFmtId="0" fontId="52" fillId="56" borderId="13" xfId="307" applyFont="1" applyFill="1" applyBorder="1" applyAlignment="1">
      <alignment horizontal="center"/>
    </xf>
    <xf numFmtId="181" fontId="36" fillId="0" borderId="0" xfId="79" applyNumberFormat="1" applyFont="1" applyFill="1"/>
    <xf numFmtId="0" fontId="36" fillId="0" borderId="0" xfId="79" applyFont="1" applyFill="1" applyBorder="1"/>
    <xf numFmtId="181" fontId="36" fillId="0" borderId="37" xfId="79" applyNumberFormat="1" applyFont="1" applyFill="1" applyBorder="1"/>
    <xf numFmtId="181" fontId="36" fillId="0" borderId="0" xfId="79" applyNumberFormat="1" applyFont="1" applyFill="1" applyBorder="1"/>
    <xf numFmtId="181" fontId="35" fillId="0" borderId="69" xfId="79" applyNumberFormat="1" applyFont="1" applyFill="1" applyBorder="1" applyAlignment="1">
      <alignment horizontal="center"/>
    </xf>
    <xf numFmtId="181" fontId="37" fillId="0" borderId="67" xfId="79" applyNumberFormat="1" applyFont="1" applyFill="1" applyBorder="1" applyAlignment="1">
      <alignment horizontal="center"/>
    </xf>
    <xf numFmtId="181" fontId="36" fillId="0" borderId="49" xfId="79" applyNumberFormat="1" applyFont="1" applyFill="1" applyBorder="1"/>
    <xf numFmtId="181" fontId="36" fillId="0" borderId="50" xfId="79" applyNumberFormat="1" applyFont="1" applyFill="1" applyBorder="1"/>
    <xf numFmtId="181" fontId="36" fillId="0" borderId="54" xfId="79" applyNumberFormat="1" applyFont="1" applyFill="1" applyBorder="1"/>
    <xf numFmtId="181" fontId="36" fillId="0" borderId="55" xfId="79" applyNumberFormat="1" applyFont="1" applyFill="1" applyBorder="1"/>
    <xf numFmtId="0" fontId="4" fillId="0" borderId="0" xfId="78" applyFont="1" applyFill="1"/>
    <xf numFmtId="0" fontId="4" fillId="0" borderId="0" xfId="78" applyFont="1" applyFill="1" applyAlignment="1">
      <alignment vertical="center"/>
    </xf>
    <xf numFmtId="1" fontId="4" fillId="0" borderId="13" xfId="78" applyNumberFormat="1" applyFont="1" applyFill="1" applyBorder="1" applyAlignment="1">
      <alignment horizontal="center"/>
    </xf>
    <xf numFmtId="0" fontId="54" fillId="0" borderId="13" xfId="78" applyFont="1" applyFill="1" applyBorder="1" applyAlignment="1">
      <alignment vertical="center"/>
    </xf>
    <xf numFmtId="0" fontId="4" fillId="0" borderId="13" xfId="78" applyFont="1" applyFill="1" applyBorder="1" applyAlignment="1">
      <alignment horizontal="center"/>
    </xf>
    <xf numFmtId="2" fontId="52" fillId="0" borderId="13" xfId="78" applyNumberFormat="1" applyFont="1" applyFill="1" applyBorder="1" applyAlignment="1">
      <alignment horizontal="center" vertical="center"/>
    </xf>
    <xf numFmtId="187" fontId="4" fillId="0" borderId="13" xfId="78" applyNumberFormat="1" applyFont="1" applyFill="1" applyBorder="1" applyAlignment="1">
      <alignment horizontal="center"/>
    </xf>
    <xf numFmtId="2" fontId="52" fillId="0" borderId="12" xfId="78" applyNumberFormat="1" applyFont="1" applyFill="1" applyBorder="1" applyAlignment="1">
      <alignment horizontal="center" vertical="center"/>
    </xf>
    <xf numFmtId="0" fontId="52" fillId="0" borderId="11" xfId="78" applyFont="1" applyFill="1" applyBorder="1" applyAlignment="1">
      <alignment horizontal="center"/>
    </xf>
    <xf numFmtId="2" fontId="52" fillId="0" borderId="15" xfId="78" applyNumberFormat="1" applyFont="1" applyFill="1" applyBorder="1" applyAlignment="1">
      <alignment horizontal="center" vertical="center"/>
    </xf>
    <xf numFmtId="0" fontId="4" fillId="0" borderId="0" xfId="78" applyFont="1" applyFill="1" applyAlignment="1">
      <alignment horizontal="center"/>
    </xf>
    <xf numFmtId="0" fontId="4" fillId="0" borderId="13" xfId="79" applyFont="1" applyBorder="1" applyProtection="1">
      <protection locked="0"/>
    </xf>
    <xf numFmtId="0" fontId="10" fillId="0" borderId="13" xfId="79" applyBorder="1" applyProtection="1">
      <protection locked="0"/>
    </xf>
    <xf numFmtId="0" fontId="4" fillId="0" borderId="13" xfId="79" applyFont="1" applyBorder="1"/>
    <xf numFmtId="0" fontId="36" fillId="0" borderId="13" xfId="79" applyFont="1" applyFill="1" applyBorder="1"/>
    <xf numFmtId="0" fontId="4" fillId="0" borderId="13" xfId="79" applyFont="1" applyBorder="1" applyAlignment="1" applyProtection="1">
      <alignment horizontal="center"/>
      <protection locked="0"/>
    </xf>
    <xf numFmtId="0" fontId="10" fillId="0" borderId="13" xfId="79" applyBorder="1" applyAlignment="1" applyProtection="1">
      <alignment horizontal="center"/>
      <protection locked="0"/>
    </xf>
    <xf numFmtId="0" fontId="4" fillId="0" borderId="13" xfId="79" applyFont="1" applyBorder="1" applyAlignment="1">
      <alignment horizontal="center"/>
    </xf>
    <xf numFmtId="0" fontId="10" fillId="0" borderId="13" xfId="79" applyBorder="1" applyAlignment="1">
      <alignment horizontal="center"/>
    </xf>
    <xf numFmtId="0" fontId="63" fillId="0" borderId="13" xfId="79" applyFont="1" applyBorder="1" applyAlignment="1" applyProtection="1">
      <alignment horizontal="center"/>
      <protection locked="0"/>
    </xf>
    <xf numFmtId="0" fontId="63" fillId="0" borderId="13" xfId="79" applyFont="1" applyBorder="1" applyAlignment="1">
      <alignment horizontal="center"/>
    </xf>
    <xf numFmtId="181" fontId="35" fillId="0" borderId="67" xfId="79" applyNumberFormat="1" applyFont="1" applyFill="1" applyBorder="1" applyAlignment="1">
      <alignment horizontal="center"/>
    </xf>
    <xf numFmtId="181" fontId="35" fillId="0" borderId="37" xfId="79" applyNumberFormat="1" applyFont="1" applyFill="1" applyBorder="1" applyAlignment="1">
      <alignment horizontal="center"/>
    </xf>
    <xf numFmtId="181" fontId="35" fillId="0" borderId="44" xfId="79" applyNumberFormat="1" applyFont="1" applyFill="1" applyBorder="1" applyAlignment="1">
      <alignment horizontal="center"/>
    </xf>
    <xf numFmtId="181" fontId="35" fillId="0" borderId="44" xfId="79" applyNumberFormat="1" applyFont="1" applyFill="1" applyBorder="1"/>
    <xf numFmtId="181" fontId="35" fillId="0" borderId="34" xfId="79" applyNumberFormat="1" applyFont="1" applyFill="1" applyBorder="1" applyAlignment="1">
      <alignment horizontal="center"/>
    </xf>
    <xf numFmtId="1" fontId="4" fillId="0" borderId="18" xfId="78" applyNumberFormat="1" applyFont="1" applyFill="1" applyBorder="1" applyAlignment="1">
      <alignment horizontal="center"/>
    </xf>
    <xf numFmtId="0" fontId="52" fillId="0" borderId="18" xfId="78" applyFont="1" applyFill="1" applyBorder="1" applyAlignment="1">
      <alignment horizontal="center"/>
    </xf>
    <xf numFmtId="0" fontId="52" fillId="0" borderId="18" xfId="78" applyFont="1" applyFill="1" applyBorder="1" applyAlignment="1">
      <alignment horizontal="center" vertical="center"/>
    </xf>
    <xf numFmtId="0" fontId="4" fillId="0" borderId="18" xfId="78" applyFont="1" applyFill="1" applyBorder="1" applyAlignment="1">
      <alignment horizontal="center"/>
    </xf>
    <xf numFmtId="0" fontId="4" fillId="0" borderId="13" xfId="78" applyFont="1" applyFill="1" applyBorder="1"/>
    <xf numFmtId="0" fontId="4" fillId="0" borderId="13" xfId="78" applyFont="1" applyFill="1" applyBorder="1" applyAlignment="1">
      <alignment vertical="center"/>
    </xf>
    <xf numFmtId="181" fontId="36" fillId="0" borderId="13" xfId="79" applyNumberFormat="1" applyFont="1" applyFill="1" applyBorder="1" applyAlignment="1">
      <alignment horizontal="center"/>
    </xf>
    <xf numFmtId="0" fontId="52" fillId="56" borderId="12" xfId="307" applyFont="1" applyFill="1" applyBorder="1" applyAlignment="1">
      <alignment horizontal="center"/>
    </xf>
    <xf numFmtId="0" fontId="3" fillId="0" borderId="13" xfId="79" applyFont="1" applyBorder="1" applyProtection="1">
      <protection locked="0"/>
    </xf>
    <xf numFmtId="0" fontId="3" fillId="0" borderId="13" xfId="79" applyFont="1" applyBorder="1"/>
    <xf numFmtId="1" fontId="10" fillId="0" borderId="13" xfId="79" applyNumberFormat="1" applyBorder="1" applyAlignment="1" applyProtection="1">
      <alignment horizontal="center"/>
      <protection locked="0"/>
    </xf>
    <xf numFmtId="1" fontId="10" fillId="0" borderId="13" xfId="79" applyNumberFormat="1" applyBorder="1" applyAlignment="1">
      <alignment horizontal="center"/>
    </xf>
    <xf numFmtId="1" fontId="36" fillId="0" borderId="13" xfId="79" applyNumberFormat="1" applyFont="1" applyFill="1" applyBorder="1" applyAlignment="1">
      <alignment horizontal="center"/>
    </xf>
    <xf numFmtId="0" fontId="64" fillId="0" borderId="13" xfId="79" applyFont="1" applyBorder="1" applyAlignment="1" applyProtection="1">
      <alignment horizontal="center"/>
      <protection locked="0"/>
    </xf>
    <xf numFmtId="0" fontId="64" fillId="0" borderId="13" xfId="79" applyFont="1" applyBorder="1" applyAlignment="1">
      <alignment horizontal="center"/>
    </xf>
    <xf numFmtId="0" fontId="2" fillId="0" borderId="13" xfId="307" applyFont="1" applyFill="1" applyBorder="1" applyAlignment="1"/>
    <xf numFmtId="0" fontId="62" fillId="0" borderId="0" xfId="0" applyFont="1" applyFill="1" applyBorder="1" applyAlignment="1">
      <alignment horizontal="center"/>
    </xf>
    <xf numFmtId="0" fontId="4" fillId="0" borderId="0" xfId="81" applyFont="1" applyFill="1" applyBorder="1" applyAlignment="1">
      <alignment horizontal="center"/>
    </xf>
    <xf numFmtId="0" fontId="4" fillId="0" borderId="0" xfId="78" applyFont="1" applyFill="1" applyBorder="1" applyAlignment="1">
      <alignment horizontal="center"/>
    </xf>
    <xf numFmtId="0" fontId="4" fillId="0" borderId="0" xfId="62" applyNumberFormat="1" applyFont="1" applyFill="1" applyBorder="1" applyAlignment="1">
      <alignment horizontal="center"/>
    </xf>
    <xf numFmtId="1" fontId="4" fillId="0" borderId="0" xfId="78" applyNumberFormat="1" applyFont="1" applyFill="1" applyBorder="1" applyAlignment="1">
      <alignment horizontal="center"/>
    </xf>
    <xf numFmtId="1" fontId="6" fillId="70" borderId="13" xfId="307" applyNumberFormat="1" applyFill="1" applyBorder="1" applyAlignment="1">
      <alignment horizontal="center"/>
    </xf>
    <xf numFmtId="0" fontId="52" fillId="0" borderId="18" xfId="307" applyFont="1" applyFill="1" applyBorder="1"/>
    <xf numFmtId="0" fontId="6" fillId="0" borderId="18" xfId="307" applyFill="1" applyBorder="1" applyAlignment="1">
      <alignment horizontal="center"/>
    </xf>
    <xf numFmtId="0" fontId="6" fillId="0" borderId="64" xfId="307" applyFill="1" applyBorder="1" applyAlignment="1">
      <alignment horizontal="center"/>
    </xf>
    <xf numFmtId="0" fontId="4" fillId="0" borderId="62" xfId="307" applyFont="1" applyBorder="1" applyAlignment="1">
      <alignment vertical="center"/>
    </xf>
    <xf numFmtId="0" fontId="4" fillId="0" borderId="17" xfId="307" applyFont="1" applyBorder="1" applyAlignment="1">
      <alignment vertical="center"/>
    </xf>
    <xf numFmtId="0" fontId="4" fillId="0" borderId="15" xfId="307" applyFont="1" applyBorder="1" applyAlignment="1">
      <alignment vertical="center"/>
    </xf>
    <xf numFmtId="0" fontId="4" fillId="0" borderId="0" xfId="307" applyFont="1" applyBorder="1" applyAlignment="1">
      <alignment vertical="center"/>
    </xf>
    <xf numFmtId="9" fontId="40" fillId="0" borderId="47" xfId="55" applyNumberFormat="1" applyFont="1" applyBorder="1"/>
    <xf numFmtId="0" fontId="68" fillId="0" borderId="0" xfId="78" applyFont="1" applyFill="1" applyAlignment="1">
      <alignment vertical="center"/>
    </xf>
    <xf numFmtId="0" fontId="69" fillId="0" borderId="0" xfId="78" applyFont="1"/>
    <xf numFmtId="0" fontId="69" fillId="0" borderId="0" xfId="78" applyFont="1" applyFill="1"/>
    <xf numFmtId="0" fontId="69" fillId="0" borderId="0" xfId="78" applyFont="1" applyBorder="1"/>
    <xf numFmtId="0" fontId="66" fillId="0" borderId="0" xfId="78" applyFont="1" applyBorder="1"/>
    <xf numFmtId="0" fontId="66" fillId="39" borderId="13" xfId="78" applyFont="1" applyFill="1" applyBorder="1" applyAlignment="1">
      <alignment horizontal="center"/>
    </xf>
    <xf numFmtId="1" fontId="70" fillId="39" borderId="13" xfId="78" applyNumberFormat="1" applyFont="1" applyFill="1" applyBorder="1" applyAlignment="1">
      <alignment horizontal="center" vertical="center" wrapText="1"/>
    </xf>
    <xf numFmtId="0" fontId="69" fillId="0" borderId="0" xfId="78" applyFont="1" applyBorder="1" applyAlignment="1">
      <alignment horizontal="center"/>
    </xf>
    <xf numFmtId="2" fontId="69" fillId="0" borderId="0" xfId="78" applyNumberFormat="1" applyFont="1"/>
    <xf numFmtId="0" fontId="69" fillId="0" borderId="0" xfId="78" applyFont="1" applyFill="1" applyBorder="1" applyAlignment="1">
      <alignment horizontal="center" vertical="center"/>
    </xf>
    <xf numFmtId="0" fontId="69" fillId="0" borderId="0" xfId="78" applyFont="1" applyBorder="1" applyAlignment="1">
      <alignment vertical="center"/>
    </xf>
    <xf numFmtId="0" fontId="70" fillId="0" borderId="0" xfId="78" applyFont="1" applyFill="1" applyBorder="1" applyAlignment="1">
      <alignment horizontal="center" vertical="center"/>
    </xf>
    <xf numFmtId="0" fontId="69" fillId="0" borderId="0" xfId="78" applyFont="1" applyFill="1" applyBorder="1" applyAlignment="1">
      <alignment vertical="center"/>
    </xf>
    <xf numFmtId="1" fontId="69" fillId="0" borderId="0" xfId="78" applyNumberFormat="1" applyFont="1"/>
    <xf numFmtId="0" fontId="70" fillId="39" borderId="13" xfId="78" applyFont="1" applyFill="1" applyBorder="1" applyAlignment="1">
      <alignment horizontal="center"/>
    </xf>
    <xf numFmtId="3" fontId="72" fillId="52" borderId="0" xfId="78" applyNumberFormat="1" applyFont="1" applyFill="1" applyBorder="1" applyAlignment="1">
      <alignment horizontal="center" vertical="center"/>
    </xf>
    <xf numFmtId="0" fontId="66" fillId="0" borderId="11" xfId="78" applyFont="1" applyBorder="1" applyAlignment="1">
      <alignment vertical="center"/>
    </xf>
    <xf numFmtId="0" fontId="66" fillId="0" borderId="18" xfId="78" applyFont="1" applyBorder="1" applyAlignment="1">
      <alignment vertical="center"/>
    </xf>
    <xf numFmtId="3" fontId="70" fillId="0" borderId="0" xfId="78" applyNumberFormat="1" applyFont="1" applyFill="1" applyBorder="1" applyAlignment="1">
      <alignment horizontal="center" vertical="center"/>
    </xf>
    <xf numFmtId="0" fontId="69" fillId="0" borderId="0" xfId="78" applyFont="1" applyFill="1" applyBorder="1" applyAlignment="1">
      <alignment horizontal="center"/>
    </xf>
    <xf numFmtId="1" fontId="69" fillId="0" borderId="13" xfId="78" applyNumberFormat="1" applyFont="1" applyBorder="1" applyAlignment="1">
      <alignment horizontal="center"/>
    </xf>
    <xf numFmtId="0" fontId="66" fillId="0" borderId="13" xfId="78" applyFont="1" applyBorder="1" applyAlignment="1">
      <alignment horizontal="center"/>
    </xf>
    <xf numFmtId="1" fontId="69" fillId="0" borderId="0" xfId="78" applyNumberFormat="1" applyFont="1" applyFill="1" applyBorder="1" applyAlignment="1">
      <alignment horizontal="center"/>
    </xf>
    <xf numFmtId="2" fontId="73" fillId="0" borderId="0" xfId="78" applyNumberFormat="1" applyFont="1"/>
    <xf numFmtId="4" fontId="72" fillId="0" borderId="0" xfId="78" applyNumberFormat="1" applyFont="1" applyFill="1" applyBorder="1" applyAlignment="1">
      <alignment horizontal="center" vertical="center"/>
    </xf>
    <xf numFmtId="0" fontId="66" fillId="0" borderId="0" xfId="78" applyFont="1" applyFill="1" applyBorder="1" applyAlignment="1">
      <alignment vertical="center"/>
    </xf>
    <xf numFmtId="1" fontId="69" fillId="0" borderId="0" xfId="78" applyNumberFormat="1" applyFont="1" applyBorder="1"/>
    <xf numFmtId="0" fontId="69" fillId="0" borderId="0" xfId="78" applyFont="1" applyFill="1" applyBorder="1"/>
    <xf numFmtId="0" fontId="69" fillId="0" borderId="0" xfId="78" applyFont="1" applyBorder="1" applyAlignment="1">
      <alignment horizontal="center" vertical="center"/>
    </xf>
    <xf numFmtId="0" fontId="68" fillId="0" borderId="0" xfId="78" applyFont="1" applyFill="1" applyBorder="1" applyAlignment="1">
      <alignment vertical="center"/>
    </xf>
    <xf numFmtId="0" fontId="66" fillId="0" borderId="0" xfId="78" applyFont="1" applyFill="1" applyBorder="1" applyAlignment="1">
      <alignment horizontal="center"/>
    </xf>
    <xf numFmtId="2" fontId="71" fillId="0" borderId="0" xfId="78" applyNumberFormat="1" applyFont="1" applyBorder="1" applyAlignment="1">
      <alignment horizontal="center"/>
    </xf>
    <xf numFmtId="0" fontId="66" fillId="40" borderId="0" xfId="78" applyFont="1" applyFill="1" applyBorder="1" applyAlignment="1">
      <alignment horizontal="center"/>
    </xf>
    <xf numFmtId="2" fontId="66" fillId="40" borderId="0" xfId="80" applyNumberFormat="1" applyFont="1" applyFill="1" applyBorder="1" applyAlignment="1">
      <alignment horizontal="center"/>
    </xf>
    <xf numFmtId="2" fontId="66" fillId="0" borderId="0" xfId="78" applyNumberFormat="1" applyFont="1" applyFill="1" applyBorder="1" applyAlignment="1">
      <alignment horizontal="center" vertical="center"/>
    </xf>
    <xf numFmtId="0" fontId="70" fillId="0" borderId="0" xfId="78" applyFont="1" applyFill="1" applyBorder="1" applyAlignment="1">
      <alignment horizontal="center"/>
    </xf>
    <xf numFmtId="0" fontId="70" fillId="0" borderId="0" xfId="78" applyFont="1" applyFill="1" applyBorder="1" applyAlignment="1"/>
    <xf numFmtId="2" fontId="69" fillId="0" borderId="0" xfId="78" applyNumberFormat="1" applyFont="1" applyFill="1" applyBorder="1" applyAlignment="1">
      <alignment horizontal="center"/>
    </xf>
    <xf numFmtId="196" fontId="71" fillId="0" borderId="0" xfId="78" applyNumberFormat="1" applyFont="1" applyFill="1" applyBorder="1" applyAlignment="1">
      <alignment horizontal="center"/>
    </xf>
    <xf numFmtId="0" fontId="75" fillId="0" borderId="0" xfId="76" applyFont="1" applyFill="1" applyBorder="1"/>
    <xf numFmtId="0" fontId="75" fillId="0" borderId="0" xfId="76" applyFont="1" applyFill="1"/>
    <xf numFmtId="0" fontId="75" fillId="0" borderId="0" xfId="76" applyFont="1" applyFill="1" applyBorder="1" applyAlignment="1">
      <alignment horizontal="center"/>
    </xf>
    <xf numFmtId="0" fontId="69" fillId="0" borderId="0" xfId="81" applyFont="1" applyBorder="1"/>
    <xf numFmtId="0" fontId="69" fillId="0" borderId="0" xfId="81" applyFont="1"/>
    <xf numFmtId="1" fontId="69" fillId="0" borderId="16" xfId="78" applyNumberFormat="1" applyFont="1" applyBorder="1" applyAlignment="1">
      <alignment horizontal="center"/>
    </xf>
    <xf numFmtId="0" fontId="66" fillId="30" borderId="13" xfId="78" applyFont="1" applyFill="1" applyBorder="1" applyAlignment="1">
      <alignment horizontal="center"/>
    </xf>
    <xf numFmtId="0" fontId="69" fillId="0" borderId="13" xfId="78" applyFont="1" applyBorder="1"/>
    <xf numFmtId="2" fontId="66" fillId="29" borderId="13" xfId="78" applyNumberFormat="1" applyFont="1" applyFill="1" applyBorder="1" applyAlignment="1">
      <alignment horizontal="center"/>
    </xf>
    <xf numFmtId="1" fontId="66" fillId="0" borderId="13" xfId="78" applyNumberFormat="1" applyFont="1" applyBorder="1" applyAlignment="1">
      <alignment horizontal="center"/>
    </xf>
    <xf numFmtId="0" fontId="69" fillId="0" borderId="17" xfId="78" applyFont="1" applyBorder="1" applyAlignment="1">
      <alignment wrapText="1"/>
    </xf>
    <xf numFmtId="0" fontId="66" fillId="0" borderId="0" xfId="78" applyFont="1" applyBorder="1" applyAlignment="1">
      <alignment vertical="center"/>
    </xf>
    <xf numFmtId="0" fontId="70" fillId="0" borderId="13" xfId="78" applyFont="1" applyFill="1" applyBorder="1" applyAlignment="1">
      <alignment horizontal="center" vertical="center"/>
    </xf>
    <xf numFmtId="0" fontId="69" fillId="0" borderId="13" xfId="78" applyFont="1" applyBorder="1" applyAlignment="1">
      <alignment horizontal="center" wrapText="1"/>
    </xf>
    <xf numFmtId="0" fontId="66" fillId="0" borderId="13" xfId="78" applyFont="1" applyBorder="1" applyAlignment="1">
      <alignment horizontal="center" vertical="center"/>
    </xf>
    <xf numFmtId="0" fontId="66" fillId="0" borderId="13" xfId="78" applyFont="1" applyFill="1" applyBorder="1" applyAlignment="1">
      <alignment horizontal="center" vertical="center"/>
    </xf>
    <xf numFmtId="0" fontId="69" fillId="0" borderId="13" xfId="78" applyFont="1" applyBorder="1" applyAlignment="1">
      <alignment horizontal="center"/>
    </xf>
    <xf numFmtId="0" fontId="69" fillId="0" borderId="16" xfId="78" applyFont="1" applyBorder="1" applyAlignment="1">
      <alignment horizontal="center"/>
    </xf>
    <xf numFmtId="0" fontId="70" fillId="40" borderId="13" xfId="78" applyFont="1" applyFill="1" applyBorder="1" applyAlignment="1">
      <alignment horizontal="center" vertical="center"/>
    </xf>
    <xf numFmtId="0" fontId="69" fillId="41" borderId="13" xfId="78" applyFont="1" applyFill="1" applyBorder="1" applyAlignment="1">
      <alignment horizontal="center"/>
    </xf>
    <xf numFmtId="0" fontId="66" fillId="37" borderId="13" xfId="78" applyFont="1" applyFill="1" applyBorder="1" applyAlignment="1">
      <alignment horizontal="center"/>
    </xf>
    <xf numFmtId="2" fontId="66" fillId="37" borderId="13" xfId="78" applyNumberFormat="1" applyFont="1" applyFill="1" applyBorder="1" applyAlignment="1">
      <alignment horizontal="center"/>
    </xf>
    <xf numFmtId="1" fontId="70" fillId="37" borderId="13" xfId="78" applyNumberFormat="1" applyFont="1" applyFill="1" applyBorder="1" applyAlignment="1">
      <alignment horizontal="center" vertical="center"/>
    </xf>
    <xf numFmtId="1" fontId="70" fillId="37" borderId="13" xfId="78" applyNumberFormat="1" applyFont="1" applyFill="1" applyBorder="1" applyAlignment="1">
      <alignment horizontal="center"/>
    </xf>
    <xf numFmtId="0" fontId="66" fillId="0" borderId="13" xfId="78" applyFont="1" applyFill="1" applyBorder="1" applyAlignment="1">
      <alignment horizontal="center"/>
    </xf>
    <xf numFmtId="2" fontId="66" fillId="0" borderId="13" xfId="78" applyNumberFormat="1" applyFont="1" applyFill="1" applyBorder="1" applyAlignment="1">
      <alignment horizontal="center"/>
    </xf>
    <xf numFmtId="1" fontId="70" fillId="0" borderId="13" xfId="78" applyNumberFormat="1" applyFont="1" applyFill="1" applyBorder="1" applyAlignment="1">
      <alignment horizontal="center" vertical="center"/>
    </xf>
    <xf numFmtId="1" fontId="70" fillId="0" borderId="13" xfId="78" applyNumberFormat="1" applyFont="1" applyFill="1" applyBorder="1" applyAlignment="1">
      <alignment horizontal="center"/>
    </xf>
    <xf numFmtId="1" fontId="66" fillId="40" borderId="13" xfId="80" applyNumberFormat="1" applyFont="1" applyFill="1" applyBorder="1" applyAlignment="1">
      <alignment horizontal="center"/>
    </xf>
    <xf numFmtId="2" fontId="71" fillId="0" borderId="13" xfId="78" applyNumberFormat="1" applyFont="1" applyBorder="1" applyAlignment="1">
      <alignment horizontal="center"/>
    </xf>
    <xf numFmtId="0" fontId="74" fillId="0" borderId="13" xfId="78" applyFont="1" applyBorder="1" applyAlignment="1">
      <alignment horizontal="center"/>
    </xf>
    <xf numFmtId="1" fontId="75" fillId="0" borderId="13" xfId="76" applyNumberFormat="1" applyFont="1" applyFill="1" applyBorder="1" applyAlignment="1">
      <alignment horizontal="center"/>
    </xf>
    <xf numFmtId="0" fontId="75" fillId="0" borderId="13" xfId="76" applyFont="1" applyFill="1" applyBorder="1" applyAlignment="1">
      <alignment horizontal="center"/>
    </xf>
    <xf numFmtId="0" fontId="66" fillId="0" borderId="13" xfId="81" applyFont="1" applyBorder="1" applyAlignment="1">
      <alignment horizontal="left"/>
    </xf>
    <xf numFmtId="196" fontId="69" fillId="0" borderId="13" xfId="81" applyNumberFormat="1" applyFont="1" applyBorder="1" applyAlignment="1">
      <alignment horizontal="center" vertical="center"/>
    </xf>
    <xf numFmtId="0" fontId="66" fillId="0" borderId="13" xfId="81" applyFont="1" applyBorder="1" applyAlignment="1">
      <alignment horizontal="center"/>
    </xf>
    <xf numFmtId="0" fontId="69" fillId="0" borderId="13" xfId="81" applyFont="1" applyBorder="1" applyAlignment="1">
      <alignment horizontal="center"/>
    </xf>
    <xf numFmtId="196" fontId="69" fillId="0" borderId="13" xfId="81" applyNumberFormat="1" applyFont="1" applyBorder="1" applyAlignment="1">
      <alignment horizontal="center"/>
    </xf>
    <xf numFmtId="0" fontId="75" fillId="0" borderId="39" xfId="76" applyFont="1" applyFill="1" applyBorder="1"/>
    <xf numFmtId="0" fontId="75" fillId="0" borderId="40" xfId="76" applyFont="1" applyFill="1" applyBorder="1"/>
    <xf numFmtId="0" fontId="75" fillId="0" borderId="31" xfId="76" applyFont="1" applyFill="1" applyBorder="1"/>
    <xf numFmtId="0" fontId="75" fillId="0" borderId="41" xfId="76" applyFont="1" applyFill="1" applyBorder="1"/>
    <xf numFmtId="0" fontId="75" fillId="0" borderId="32" xfId="76" applyFont="1" applyFill="1" applyBorder="1"/>
    <xf numFmtId="0" fontId="75" fillId="0" borderId="42" xfId="76" applyFont="1" applyFill="1" applyBorder="1"/>
    <xf numFmtId="0" fontId="75" fillId="0" borderId="38" xfId="76" applyFont="1" applyFill="1" applyBorder="1"/>
    <xf numFmtId="0" fontId="75" fillId="0" borderId="47" xfId="76" applyFont="1" applyFill="1" applyBorder="1"/>
    <xf numFmtId="0" fontId="78" fillId="25" borderId="13" xfId="0" applyFont="1" applyFill="1" applyBorder="1" applyAlignment="1">
      <alignment horizontal="center" vertical="center" wrapText="1"/>
    </xf>
    <xf numFmtId="0" fontId="77" fillId="25" borderId="13" xfId="0" applyFont="1" applyFill="1" applyBorder="1" applyAlignment="1">
      <alignment horizontal="center" vertical="center" wrapText="1"/>
    </xf>
    <xf numFmtId="0" fontId="77" fillId="0" borderId="13" xfId="0" applyFont="1" applyFill="1" applyBorder="1" applyAlignment="1">
      <alignment horizontal="left" vertical="center" wrapText="1"/>
    </xf>
    <xf numFmtId="0" fontId="77" fillId="0" borderId="13" xfId="0" applyFont="1" applyFill="1" applyBorder="1" applyAlignment="1">
      <alignment horizontal="center" vertical="center"/>
    </xf>
    <xf numFmtId="181" fontId="77" fillId="0" borderId="13" xfId="0" applyNumberFormat="1" applyFont="1" applyFill="1" applyBorder="1"/>
    <xf numFmtId="0" fontId="77" fillId="27" borderId="13" xfId="0" applyFont="1" applyFill="1" applyBorder="1" applyAlignment="1">
      <alignment horizontal="center" vertical="center" wrapText="1"/>
    </xf>
    <xf numFmtId="181" fontId="77" fillId="0" borderId="13" xfId="0" applyNumberFormat="1" applyFont="1" applyFill="1" applyBorder="1" applyAlignment="1">
      <alignment horizontal="right" vertical="center"/>
    </xf>
    <xf numFmtId="0" fontId="77" fillId="0" borderId="13" xfId="0" applyFont="1" applyFill="1" applyBorder="1" applyAlignment="1">
      <alignment horizontal="center"/>
    </xf>
    <xf numFmtId="0" fontId="78" fillId="0" borderId="13" xfId="0" applyFont="1" applyFill="1" applyBorder="1" applyAlignment="1">
      <alignment vertical="center" wrapText="1"/>
    </xf>
    <xf numFmtId="0" fontId="77" fillId="0" borderId="13" xfId="0" applyFont="1" applyFill="1" applyBorder="1" applyAlignment="1">
      <alignment horizontal="right" vertical="center" wrapText="1"/>
    </xf>
    <xf numFmtId="9" fontId="77" fillId="0" borderId="13" xfId="0" applyNumberFormat="1" applyFont="1" applyFill="1" applyBorder="1" applyAlignment="1">
      <alignment horizontal="center" vertical="center"/>
    </xf>
    <xf numFmtId="192" fontId="77" fillId="0" borderId="13" xfId="43" applyNumberFormat="1" applyFont="1" applyFill="1" applyBorder="1" applyAlignment="1">
      <alignment horizontal="center"/>
    </xf>
    <xf numFmtId="173" fontId="77" fillId="0" borderId="13" xfId="0" applyNumberFormat="1" applyFont="1" applyFill="1" applyBorder="1" applyAlignment="1">
      <alignment horizontal="center"/>
    </xf>
    <xf numFmtId="9" fontId="77" fillId="0" borderId="13" xfId="62" applyFont="1" applyFill="1" applyBorder="1" applyAlignment="1">
      <alignment horizontal="center" vertical="center"/>
    </xf>
    <xf numFmtId="1" fontId="69" fillId="0" borderId="32" xfId="78" applyNumberFormat="1" applyFont="1" applyBorder="1" applyAlignment="1">
      <alignment horizontal="center"/>
    </xf>
    <xf numFmtId="1" fontId="69" fillId="0" borderId="32" xfId="78" applyNumberFormat="1" applyFont="1" applyFill="1" applyBorder="1" applyAlignment="1">
      <alignment horizontal="center" vertical="center"/>
    </xf>
    <xf numFmtId="0" fontId="69" fillId="0" borderId="41" xfId="78" applyFont="1" applyBorder="1"/>
    <xf numFmtId="0" fontId="66" fillId="0" borderId="41" xfId="78" applyFont="1" applyBorder="1" applyAlignment="1">
      <alignment horizontal="center" vertical="center"/>
    </xf>
    <xf numFmtId="1" fontId="71" fillId="0" borderId="32" xfId="78" applyNumberFormat="1" applyFont="1" applyFill="1" applyBorder="1" applyAlignment="1">
      <alignment horizontal="center"/>
    </xf>
    <xf numFmtId="1" fontId="69" fillId="0" borderId="32" xfId="78" applyNumberFormat="1" applyFont="1" applyFill="1" applyBorder="1" applyAlignment="1">
      <alignment horizontal="center" vertical="center" wrapText="1"/>
    </xf>
    <xf numFmtId="1" fontId="69" fillId="0" borderId="32" xfId="78" applyNumberFormat="1" applyFont="1" applyFill="1" applyBorder="1" applyAlignment="1">
      <alignment horizontal="center"/>
    </xf>
    <xf numFmtId="0" fontId="69" fillId="0" borderId="49" xfId="78" applyFont="1" applyBorder="1"/>
    <xf numFmtId="0" fontId="70" fillId="40" borderId="49" xfId="78" applyFont="1" applyFill="1" applyBorder="1" applyAlignment="1">
      <alignment horizontal="center" vertical="center"/>
    </xf>
    <xf numFmtId="0" fontId="69" fillId="41" borderId="49" xfId="78" applyFont="1" applyFill="1" applyBorder="1" applyAlignment="1">
      <alignment horizontal="center"/>
    </xf>
    <xf numFmtId="0" fontId="66" fillId="37" borderId="49" xfId="78" applyFont="1" applyFill="1" applyBorder="1" applyAlignment="1">
      <alignment horizontal="center" vertical="center"/>
    </xf>
    <xf numFmtId="1" fontId="69" fillId="0" borderId="32" xfId="78" applyNumberFormat="1" applyFont="1" applyBorder="1" applyAlignment="1">
      <alignment horizontal="center" vertical="center"/>
    </xf>
    <xf numFmtId="0" fontId="66" fillId="0" borderId="49" xfId="78" applyFont="1" applyFill="1" applyBorder="1" applyAlignment="1">
      <alignment horizontal="center" vertical="center"/>
    </xf>
    <xf numFmtId="2" fontId="69" fillId="0" borderId="32" xfId="78" applyNumberFormat="1" applyFont="1" applyBorder="1" applyAlignment="1">
      <alignment horizontal="center"/>
    </xf>
    <xf numFmtId="0" fontId="69" fillId="0" borderId="32" xfId="78" applyFont="1" applyBorder="1"/>
    <xf numFmtId="0" fontId="66" fillId="40" borderId="41" xfId="78" applyFont="1" applyFill="1" applyBorder="1" applyAlignment="1">
      <alignment horizontal="center"/>
    </xf>
    <xf numFmtId="0" fontId="66" fillId="0" borderId="32" xfId="78" applyFont="1" applyFill="1" applyBorder="1" applyAlignment="1">
      <alignment vertical="center"/>
    </xf>
    <xf numFmtId="0" fontId="70" fillId="0" borderId="32" xfId="78" applyFont="1" applyFill="1" applyBorder="1" applyAlignment="1"/>
    <xf numFmtId="0" fontId="69" fillId="0" borderId="50" xfId="78" applyFont="1" applyBorder="1" applyAlignment="1">
      <alignment horizontal="center"/>
    </xf>
    <xf numFmtId="0" fontId="76" fillId="0" borderId="32" xfId="78" applyFont="1" applyBorder="1" applyAlignment="1">
      <alignment horizontal="center"/>
    </xf>
    <xf numFmtId="0" fontId="66" fillId="0" borderId="49" xfId="81" applyFont="1" applyBorder="1" applyAlignment="1">
      <alignment horizontal="center"/>
    </xf>
    <xf numFmtId="0" fontId="69" fillId="0" borderId="49" xfId="81" applyFont="1" applyBorder="1" applyAlignment="1">
      <alignment horizontal="center"/>
    </xf>
    <xf numFmtId="0" fontId="69" fillId="0" borderId="54" xfId="81" applyFont="1" applyBorder="1" applyAlignment="1">
      <alignment horizontal="center"/>
    </xf>
    <xf numFmtId="0" fontId="69" fillId="0" borderId="59" xfId="81" applyFont="1" applyBorder="1" applyAlignment="1">
      <alignment horizontal="center"/>
    </xf>
    <xf numFmtId="0" fontId="69" fillId="0" borderId="59" xfId="81" applyFont="1" applyBorder="1"/>
    <xf numFmtId="0" fontId="69" fillId="0" borderId="38" xfId="81" applyFont="1" applyBorder="1"/>
    <xf numFmtId="0" fontId="69" fillId="0" borderId="47" xfId="78" applyFont="1" applyBorder="1"/>
    <xf numFmtId="0" fontId="70" fillId="0" borderId="35" xfId="78" applyFont="1" applyBorder="1" applyAlignment="1">
      <alignment horizontal="center" vertical="center"/>
    </xf>
    <xf numFmtId="0" fontId="70" fillId="39" borderId="18" xfId="78" applyFont="1" applyFill="1" applyBorder="1" applyAlignment="1">
      <alignment horizontal="center" vertical="center" wrapText="1"/>
    </xf>
    <xf numFmtId="0" fontId="70" fillId="30" borderId="69" xfId="78" applyFont="1" applyFill="1" applyBorder="1" applyAlignment="1">
      <alignment horizontal="center" vertical="center" wrapText="1"/>
    </xf>
    <xf numFmtId="0" fontId="70" fillId="40" borderId="12" xfId="78" applyFont="1" applyFill="1" applyBorder="1" applyAlignment="1">
      <alignment horizontal="center" vertical="center" wrapText="1"/>
    </xf>
    <xf numFmtId="0" fontId="69" fillId="41" borderId="12" xfId="78" applyFont="1" applyFill="1" applyBorder="1" applyAlignment="1">
      <alignment horizontal="center"/>
    </xf>
    <xf numFmtId="1" fontId="70" fillId="37" borderId="12" xfId="78" applyNumberFormat="1" applyFont="1" applyFill="1" applyBorder="1" applyAlignment="1">
      <alignment horizontal="center"/>
    </xf>
    <xf numFmtId="1" fontId="70" fillId="0" borderId="12" xfId="78" applyNumberFormat="1" applyFont="1" applyFill="1" applyBorder="1" applyAlignment="1">
      <alignment horizontal="center"/>
    </xf>
    <xf numFmtId="1" fontId="69" fillId="0" borderId="46" xfId="78" applyNumberFormat="1" applyFont="1" applyBorder="1" applyAlignment="1">
      <alignment horizontal="center"/>
    </xf>
    <xf numFmtId="0" fontId="66" fillId="0" borderId="46" xfId="78" applyFont="1" applyBorder="1" applyAlignment="1">
      <alignment horizontal="center"/>
    </xf>
    <xf numFmtId="0" fontId="69" fillId="0" borderId="31" xfId="78" applyFont="1" applyBorder="1"/>
    <xf numFmtId="1" fontId="69" fillId="70" borderId="50" xfId="78" applyNumberFormat="1" applyFont="1" applyFill="1" applyBorder="1" applyAlignment="1">
      <alignment horizontal="center"/>
    </xf>
    <xf numFmtId="1" fontId="69" fillId="0" borderId="50" xfId="78" applyNumberFormat="1" applyFont="1" applyBorder="1" applyAlignment="1">
      <alignment horizontal="center"/>
    </xf>
    <xf numFmtId="1" fontId="66" fillId="70" borderId="55" xfId="78" applyNumberFormat="1" applyFont="1" applyFill="1" applyBorder="1" applyAlignment="1">
      <alignment horizontal="center"/>
    </xf>
    <xf numFmtId="0" fontId="66" fillId="0" borderId="52" xfId="81" applyFont="1" applyBorder="1" applyAlignment="1">
      <alignment horizontal="left"/>
    </xf>
    <xf numFmtId="196" fontId="69" fillId="0" borderId="52" xfId="81" applyNumberFormat="1" applyFont="1" applyBorder="1" applyAlignment="1">
      <alignment horizontal="center" vertical="center"/>
    </xf>
    <xf numFmtId="0" fontId="69" fillId="0" borderId="53" xfId="81" applyFont="1" applyBorder="1" applyAlignment="1">
      <alignment horizontal="center" vertical="center"/>
    </xf>
    <xf numFmtId="0" fontId="69" fillId="0" borderId="50" xfId="81" applyFont="1" applyBorder="1" applyAlignment="1">
      <alignment horizontal="center" vertical="center"/>
    </xf>
    <xf numFmtId="0" fontId="69" fillId="0" borderId="50" xfId="81" applyFont="1" applyBorder="1" applyAlignment="1">
      <alignment horizontal="center"/>
    </xf>
    <xf numFmtId="0" fontId="69" fillId="0" borderId="55" xfId="81" applyFont="1" applyBorder="1"/>
    <xf numFmtId="0" fontId="21" fillId="0" borderId="13" xfId="55" applyBorder="1" applyAlignment="1">
      <alignment horizontal="center"/>
    </xf>
    <xf numFmtId="0" fontId="35" fillId="0" borderId="48" xfId="0" applyFont="1" applyFill="1" applyBorder="1" applyAlignment="1">
      <alignment horizontal="center"/>
    </xf>
    <xf numFmtId="181" fontId="35" fillId="0" borderId="69" xfId="0" applyNumberFormat="1" applyFont="1" applyFill="1" applyBorder="1" applyAlignment="1">
      <alignment horizontal="center"/>
    </xf>
    <xf numFmtId="0" fontId="35" fillId="0" borderId="67" xfId="0" applyFont="1" applyFill="1" applyBorder="1" applyAlignment="1">
      <alignment horizontal="center"/>
    </xf>
    <xf numFmtId="0" fontId="35" fillId="0" borderId="47" xfId="0" applyFont="1" applyFill="1" applyBorder="1" applyAlignment="1">
      <alignment horizontal="center" wrapText="1"/>
    </xf>
    <xf numFmtId="181" fontId="37" fillId="0" borderId="67" xfId="0" applyNumberFormat="1" applyFont="1" applyFill="1" applyBorder="1" applyAlignment="1">
      <alignment horizontal="center"/>
    </xf>
    <xf numFmtId="0" fontId="80" fillId="0" borderId="69" xfId="0" applyFont="1" applyFill="1" applyBorder="1" applyAlignment="1">
      <alignment horizontal="center"/>
    </xf>
    <xf numFmtId="0" fontId="80" fillId="0" borderId="48" xfId="0" applyFont="1" applyFill="1" applyBorder="1" applyAlignment="1">
      <alignment horizontal="center"/>
    </xf>
    <xf numFmtId="181" fontId="80" fillId="0" borderId="69" xfId="0" applyNumberFormat="1" applyFont="1" applyFill="1" applyBorder="1" applyAlignment="1">
      <alignment horizontal="center"/>
    </xf>
    <xf numFmtId="0" fontId="79" fillId="0" borderId="0" xfId="0" applyFont="1" applyFill="1" applyBorder="1"/>
    <xf numFmtId="181" fontId="80" fillId="0" borderId="45" xfId="0" applyNumberFormat="1" applyFont="1" applyFill="1" applyBorder="1" applyAlignment="1">
      <alignment horizontal="center"/>
    </xf>
    <xf numFmtId="181" fontId="80" fillId="0" borderId="46" xfId="0" applyNumberFormat="1" applyFont="1" applyFill="1" applyBorder="1" applyAlignment="1">
      <alignment horizontal="center"/>
    </xf>
    <xf numFmtId="181" fontId="80" fillId="0" borderId="46" xfId="0" applyNumberFormat="1" applyFont="1" applyFill="1" applyBorder="1"/>
    <xf numFmtId="181" fontId="80" fillId="0" borderId="30" xfId="0" applyNumberFormat="1" applyFont="1" applyFill="1" applyBorder="1" applyAlignment="1">
      <alignment horizontal="center"/>
    </xf>
    <xf numFmtId="0" fontId="80" fillId="0" borderId="67" xfId="0" applyFont="1" applyFill="1" applyBorder="1" applyAlignment="1">
      <alignment horizontal="center"/>
    </xf>
    <xf numFmtId="0" fontId="80" fillId="0" borderId="47" xfId="0" applyFont="1" applyFill="1" applyBorder="1" applyAlignment="1">
      <alignment horizontal="center" wrapText="1"/>
    </xf>
    <xf numFmtId="181" fontId="81" fillId="0" borderId="67" xfId="0" applyNumberFormat="1" applyFont="1" applyFill="1" applyBorder="1" applyAlignment="1">
      <alignment horizontal="center"/>
    </xf>
    <xf numFmtId="181" fontId="79" fillId="0" borderId="54" xfId="0" applyNumberFormat="1" applyFont="1" applyFill="1" applyBorder="1"/>
    <xf numFmtId="181" fontId="79" fillId="0" borderId="59" xfId="0" applyNumberFormat="1" applyFont="1" applyFill="1" applyBorder="1"/>
    <xf numFmtId="181" fontId="79" fillId="0" borderId="55" xfId="0" applyNumberFormat="1" applyFont="1" applyFill="1" applyBorder="1"/>
    <xf numFmtId="0" fontId="80" fillId="0" borderId="22" xfId="0" applyFont="1" applyFill="1" applyBorder="1" applyAlignment="1">
      <alignment horizontal="center"/>
    </xf>
    <xf numFmtId="0" fontId="80" fillId="0" borderId="24" xfId="0" applyFont="1" applyFill="1" applyBorder="1"/>
    <xf numFmtId="0" fontId="80" fillId="0" borderId="70" xfId="0" applyFont="1" applyFill="1" applyBorder="1" applyAlignment="1">
      <alignment horizontal="center"/>
    </xf>
    <xf numFmtId="181" fontId="80" fillId="0" borderId="23" xfId="0" applyNumberFormat="1" applyFont="1" applyFill="1" applyBorder="1" applyAlignment="1">
      <alignment horizontal="center"/>
    </xf>
    <xf numFmtId="0" fontId="80" fillId="0" borderId="24" xfId="0" applyFont="1" applyFill="1" applyBorder="1" applyAlignment="1">
      <alignment horizontal="center"/>
    </xf>
    <xf numFmtId="181" fontId="80" fillId="0" borderId="22" xfId="0" applyNumberFormat="1" applyFont="1" applyFill="1" applyBorder="1" applyAlignment="1">
      <alignment horizontal="center"/>
    </xf>
    <xf numFmtId="181" fontId="80" fillId="0" borderId="23" xfId="0" applyNumberFormat="1" applyFont="1" applyFill="1" applyBorder="1"/>
    <xf numFmtId="181" fontId="80" fillId="0" borderId="24" xfId="0" applyNumberFormat="1" applyFont="1" applyFill="1" applyBorder="1" applyAlignment="1">
      <alignment horizontal="center"/>
    </xf>
    <xf numFmtId="0" fontId="79" fillId="0" borderId="51" xfId="0" applyFont="1" applyFill="1" applyBorder="1" applyAlignment="1">
      <alignment horizontal="center"/>
    </xf>
    <xf numFmtId="0" fontId="79" fillId="0" borderId="53" xfId="0" applyFont="1" applyFill="1" applyBorder="1"/>
    <xf numFmtId="0" fontId="79" fillId="0" borderId="56" xfId="0" applyFont="1" applyFill="1" applyBorder="1" applyAlignment="1">
      <alignment horizontal="center"/>
    </xf>
    <xf numFmtId="181" fontId="79" fillId="0" borderId="52" xfId="0" applyNumberFormat="1" applyFont="1" applyFill="1" applyBorder="1"/>
    <xf numFmtId="181" fontId="79" fillId="0" borderId="51" xfId="0" applyNumberFormat="1" applyFont="1" applyFill="1" applyBorder="1"/>
    <xf numFmtId="181" fontId="79" fillId="0" borderId="53" xfId="0" applyNumberFormat="1" applyFont="1" applyFill="1" applyBorder="1"/>
    <xf numFmtId="0" fontId="79" fillId="0" borderId="49" xfId="0" applyFont="1" applyFill="1" applyBorder="1" applyAlignment="1">
      <alignment horizontal="center"/>
    </xf>
    <xf numFmtId="0" fontId="79" fillId="0" borderId="50" xfId="0" applyFont="1" applyFill="1" applyBorder="1"/>
    <xf numFmtId="0" fontId="79" fillId="0" borderId="20" xfId="0" applyFont="1" applyFill="1" applyBorder="1" applyAlignment="1">
      <alignment horizontal="center"/>
    </xf>
    <xf numFmtId="181" fontId="79" fillId="0" borderId="13" xfId="0" applyNumberFormat="1" applyFont="1" applyFill="1" applyBorder="1"/>
    <xf numFmtId="181" fontId="79" fillId="0" borderId="49" xfId="0" applyNumberFormat="1" applyFont="1" applyFill="1" applyBorder="1"/>
    <xf numFmtId="181" fontId="79" fillId="0" borderId="50" xfId="0" applyNumberFormat="1" applyFont="1" applyFill="1" applyBorder="1"/>
    <xf numFmtId="0" fontId="79" fillId="0" borderId="25" xfId="0" applyFont="1" applyFill="1" applyBorder="1" applyAlignment="1">
      <alignment horizontal="center"/>
    </xf>
    <xf numFmtId="0" fontId="79" fillId="0" borderId="26" xfId="0" applyFont="1" applyFill="1" applyBorder="1"/>
    <xf numFmtId="181" fontId="79" fillId="0" borderId="25" xfId="0" applyNumberFormat="1" applyFont="1" applyFill="1" applyBorder="1"/>
    <xf numFmtId="181" fontId="79" fillId="0" borderId="16" xfId="0" applyNumberFormat="1" applyFont="1" applyFill="1" applyBorder="1"/>
    <xf numFmtId="181" fontId="79" fillId="0" borderId="26" xfId="0" applyNumberFormat="1" applyFont="1" applyFill="1" applyBorder="1"/>
    <xf numFmtId="0" fontId="79" fillId="0" borderId="54" xfId="0" applyFont="1" applyFill="1" applyBorder="1" applyAlignment="1">
      <alignment horizontal="center"/>
    </xf>
    <xf numFmtId="0" fontId="79" fillId="0" borderId="55" xfId="0" applyFont="1" applyFill="1" applyBorder="1"/>
    <xf numFmtId="0" fontId="79" fillId="0" borderId="57" xfId="0" applyFont="1" applyFill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79" fillId="0" borderId="0" xfId="0" applyFont="1" applyFill="1"/>
    <xf numFmtId="181" fontId="79" fillId="0" borderId="0" xfId="0" applyNumberFormat="1" applyFont="1" applyFill="1"/>
    <xf numFmtId="181" fontId="79" fillId="0" borderId="37" xfId="0" applyNumberFormat="1" applyFont="1" applyFill="1" applyBorder="1"/>
    <xf numFmtId="181" fontId="79" fillId="0" borderId="44" xfId="0" applyNumberFormat="1" applyFont="1" applyFill="1" applyBorder="1"/>
    <xf numFmtId="181" fontId="79" fillId="0" borderId="34" xfId="0" applyNumberFormat="1" applyFont="1" applyFill="1" applyBorder="1"/>
    <xf numFmtId="0" fontId="80" fillId="0" borderId="45" xfId="0" applyFont="1" applyFill="1" applyBorder="1" applyAlignment="1">
      <alignment horizontal="center"/>
    </xf>
    <xf numFmtId="0" fontId="80" fillId="0" borderId="30" xfId="0" applyFont="1" applyFill="1" applyBorder="1"/>
    <xf numFmtId="0" fontId="80" fillId="0" borderId="58" xfId="0" applyFont="1" applyFill="1" applyBorder="1" applyAlignment="1">
      <alignment horizontal="center"/>
    </xf>
    <xf numFmtId="0" fontId="80" fillId="0" borderId="30" xfId="0" applyFont="1" applyFill="1" applyBorder="1" applyAlignment="1">
      <alignment horizontal="center"/>
    </xf>
    <xf numFmtId="0" fontId="79" fillId="0" borderId="61" xfId="0" applyFont="1" applyFill="1" applyBorder="1"/>
    <xf numFmtId="0" fontId="79" fillId="0" borderId="52" xfId="0" applyFont="1" applyFill="1" applyBorder="1"/>
    <xf numFmtId="0" fontId="79" fillId="0" borderId="12" xfId="0" applyFont="1" applyFill="1" applyBorder="1"/>
    <xf numFmtId="0" fontId="79" fillId="0" borderId="13" xfId="0" applyFont="1" applyFill="1" applyBorder="1"/>
    <xf numFmtId="0" fontId="79" fillId="0" borderId="63" xfId="0" applyFont="1" applyFill="1" applyBorder="1"/>
    <xf numFmtId="0" fontId="79" fillId="0" borderId="59" xfId="0" applyFont="1" applyFill="1" applyBorder="1"/>
    <xf numFmtId="181" fontId="79" fillId="0" borderId="0" xfId="0" applyNumberFormat="1" applyFont="1" applyFill="1" applyBorder="1"/>
    <xf numFmtId="181" fontId="79" fillId="0" borderId="45" xfId="0" applyNumberFormat="1" applyFont="1" applyFill="1" applyBorder="1"/>
    <xf numFmtId="0" fontId="79" fillId="0" borderId="10" xfId="0" applyFont="1" applyFill="1" applyBorder="1" applyAlignment="1">
      <alignment horizontal="center"/>
    </xf>
    <xf numFmtId="0" fontId="79" fillId="0" borderId="36" xfId="0" applyFont="1" applyFill="1" applyBorder="1"/>
    <xf numFmtId="0" fontId="79" fillId="0" borderId="60" xfId="0" applyFont="1" applyFill="1" applyBorder="1" applyAlignment="1">
      <alignment horizontal="center"/>
    </xf>
    <xf numFmtId="181" fontId="79" fillId="0" borderId="18" xfId="0" applyNumberFormat="1" applyFont="1" applyFill="1" applyBorder="1"/>
    <xf numFmtId="0" fontId="79" fillId="0" borderId="15" xfId="0" applyFont="1" applyFill="1" applyBorder="1"/>
    <xf numFmtId="181" fontId="79" fillId="0" borderId="60" xfId="0" applyNumberFormat="1" applyFont="1" applyFill="1" applyBorder="1"/>
    <xf numFmtId="181" fontId="79" fillId="0" borderId="11" xfId="0" applyNumberFormat="1" applyFont="1" applyFill="1" applyBorder="1"/>
    <xf numFmtId="181" fontId="79" fillId="0" borderId="27" xfId="0" applyNumberFormat="1" applyFont="1" applyFill="1" applyBorder="1"/>
    <xf numFmtId="0" fontId="79" fillId="0" borderId="62" xfId="0" applyFont="1" applyFill="1" applyBorder="1"/>
    <xf numFmtId="181" fontId="79" fillId="0" borderId="10" xfId="0" applyNumberFormat="1" applyFont="1" applyFill="1" applyBorder="1"/>
    <xf numFmtId="0" fontId="80" fillId="0" borderId="0" xfId="0" applyFont="1" applyFill="1" applyAlignment="1">
      <alignment horizontal="center"/>
    </xf>
    <xf numFmtId="0" fontId="79" fillId="0" borderId="0" xfId="0" applyFont="1" applyFill="1" applyBorder="1" applyAlignment="1">
      <alignment horizontal="center"/>
    </xf>
    <xf numFmtId="0" fontId="80" fillId="0" borderId="65" xfId="0" applyFont="1" applyFill="1" applyBorder="1" applyAlignment="1">
      <alignment horizontal="center"/>
    </xf>
    <xf numFmtId="0" fontId="80" fillId="0" borderId="31" xfId="0" applyFont="1" applyFill="1" applyBorder="1" applyAlignment="1">
      <alignment horizontal="center"/>
    </xf>
    <xf numFmtId="181" fontId="80" fillId="0" borderId="65" xfId="0" applyNumberFormat="1" applyFont="1" applyFill="1" applyBorder="1" applyAlignment="1">
      <alignment horizontal="center"/>
    </xf>
    <xf numFmtId="181" fontId="80" fillId="0" borderId="37" xfId="0" applyNumberFormat="1" applyFont="1" applyFill="1" applyBorder="1" applyAlignment="1">
      <alignment horizontal="center"/>
    </xf>
    <xf numFmtId="181" fontId="80" fillId="0" borderId="44" xfId="0" applyNumberFormat="1" applyFont="1" applyFill="1" applyBorder="1" applyAlignment="1">
      <alignment horizontal="center"/>
    </xf>
    <xf numFmtId="181" fontId="80" fillId="0" borderId="44" xfId="0" applyNumberFormat="1" applyFont="1" applyFill="1" applyBorder="1"/>
    <xf numFmtId="181" fontId="80" fillId="0" borderId="34" xfId="0" applyNumberFormat="1" applyFont="1" applyFill="1" applyBorder="1" applyAlignment="1">
      <alignment horizontal="center"/>
    </xf>
    <xf numFmtId="0" fontId="79" fillId="0" borderId="64" xfId="0" applyFont="1" applyFill="1" applyBorder="1"/>
    <xf numFmtId="0" fontId="79" fillId="0" borderId="35" xfId="0" applyFont="1" applyFill="1" applyBorder="1" applyAlignment="1">
      <alignment horizontal="center"/>
    </xf>
    <xf numFmtId="0" fontId="79" fillId="0" borderId="18" xfId="0" applyFont="1" applyFill="1" applyBorder="1"/>
    <xf numFmtId="0" fontId="79" fillId="0" borderId="18" xfId="0" applyFont="1" applyFill="1" applyBorder="1" applyAlignment="1">
      <alignment horizontal="center"/>
    </xf>
    <xf numFmtId="181" fontId="79" fillId="0" borderId="36" xfId="0" applyNumberFormat="1" applyFont="1" applyFill="1" applyBorder="1"/>
    <xf numFmtId="0" fontId="80" fillId="0" borderId="68" xfId="0" applyFont="1" applyFill="1" applyBorder="1" applyAlignment="1">
      <alignment horizontal="center"/>
    </xf>
    <xf numFmtId="181" fontId="80" fillId="0" borderId="70" xfId="0" applyNumberFormat="1" applyFont="1" applyFill="1" applyBorder="1" applyAlignment="1">
      <alignment horizontal="center"/>
    </xf>
    <xf numFmtId="181" fontId="79" fillId="0" borderId="20" xfId="0" applyNumberFormat="1" applyFont="1" applyFill="1" applyBorder="1"/>
    <xf numFmtId="181" fontId="79" fillId="0" borderId="57" xfId="0" applyNumberFormat="1" applyFont="1" applyFill="1" applyBorder="1"/>
    <xf numFmtId="181" fontId="79" fillId="0" borderId="66" xfId="0" applyNumberFormat="1" applyFont="1" applyFill="1" applyBorder="1"/>
    <xf numFmtId="181" fontId="79" fillId="0" borderId="74" xfId="0" applyNumberFormat="1" applyFont="1" applyFill="1" applyBorder="1"/>
    <xf numFmtId="181" fontId="79" fillId="0" borderId="73" xfId="0" applyNumberFormat="1" applyFont="1" applyFill="1" applyBorder="1"/>
    <xf numFmtId="177" fontId="0" fillId="31" borderId="13" xfId="0" applyNumberFormat="1" applyFill="1" applyBorder="1" applyProtection="1">
      <protection locked="0"/>
    </xf>
    <xf numFmtId="0" fontId="79" fillId="0" borderId="71" xfId="0" applyFont="1" applyFill="1" applyBorder="1" applyAlignment="1">
      <alignment horizontal="center"/>
    </xf>
    <xf numFmtId="0" fontId="79" fillId="0" borderId="66" xfId="0" applyFont="1" applyFill="1" applyBorder="1" applyAlignment="1">
      <alignment horizontal="center"/>
    </xf>
    <xf numFmtId="0" fontId="79" fillId="0" borderId="72" xfId="0" applyFont="1" applyFill="1" applyBorder="1" applyAlignment="1">
      <alignment horizontal="center"/>
    </xf>
    <xf numFmtId="0" fontId="79" fillId="0" borderId="73" xfId="0" applyFont="1" applyFill="1" applyBorder="1" applyAlignment="1">
      <alignment horizontal="center"/>
    </xf>
    <xf numFmtId="0" fontId="79" fillId="0" borderId="40" xfId="0" applyFont="1" applyFill="1" applyBorder="1"/>
    <xf numFmtId="0" fontId="79" fillId="0" borderId="14" xfId="0" applyFont="1" applyFill="1" applyBorder="1"/>
    <xf numFmtId="0" fontId="79" fillId="0" borderId="19" xfId="0" applyFont="1" applyFill="1" applyBorder="1"/>
    <xf numFmtId="0" fontId="79" fillId="0" borderId="78" xfId="0" applyFont="1" applyFill="1" applyBorder="1"/>
    <xf numFmtId="0" fontId="79" fillId="0" borderId="27" xfId="0" applyFont="1" applyFill="1" applyBorder="1"/>
    <xf numFmtId="181" fontId="79" fillId="0" borderId="38" xfId="0" applyNumberFormat="1" applyFont="1" applyFill="1" applyBorder="1"/>
    <xf numFmtId="0" fontId="36" fillId="0" borderId="22" xfId="0" applyFont="1" applyFill="1" applyBorder="1" applyAlignment="1">
      <alignment horizontal="center"/>
    </xf>
    <xf numFmtId="0" fontId="36" fillId="0" borderId="24" xfId="0" applyFont="1" applyFill="1" applyBorder="1"/>
    <xf numFmtId="0" fontId="36" fillId="0" borderId="70" xfId="0" applyFont="1" applyFill="1" applyBorder="1" applyAlignment="1">
      <alignment horizontal="center"/>
    </xf>
    <xf numFmtId="181" fontId="36" fillId="0" borderId="23" xfId="0" applyNumberFormat="1" applyFont="1" applyFill="1" applyBorder="1"/>
    <xf numFmtId="0" fontId="36" fillId="0" borderId="23" xfId="0" applyFont="1" applyFill="1" applyBorder="1"/>
    <xf numFmtId="181" fontId="36" fillId="0" borderId="24" xfId="0" applyNumberFormat="1" applyFont="1" applyFill="1" applyBorder="1"/>
    <xf numFmtId="173" fontId="82" fillId="0" borderId="13" xfId="0" applyNumberFormat="1" applyFont="1" applyFill="1" applyBorder="1" applyAlignment="1">
      <alignment horizontal="center"/>
    </xf>
    <xf numFmtId="181" fontId="77" fillId="0" borderId="13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71" fontId="0" fillId="0" borderId="0" xfId="43" applyFont="1" applyFill="1" applyBorder="1" applyAlignment="1">
      <alignment vertical="center"/>
    </xf>
    <xf numFmtId="181" fontId="79" fillId="0" borderId="22" xfId="0" applyNumberFormat="1" applyFont="1" applyFill="1" applyBorder="1"/>
    <xf numFmtId="181" fontId="79" fillId="0" borderId="69" xfId="0" applyNumberFormat="1" applyFont="1" applyFill="1" applyBorder="1"/>
    <xf numFmtId="181" fontId="36" fillId="0" borderId="22" xfId="79" applyNumberFormat="1" applyFont="1" applyFill="1" applyBorder="1"/>
    <xf numFmtId="181" fontId="36" fillId="0" borderId="23" xfId="79" applyNumberFormat="1" applyFont="1" applyFill="1" applyBorder="1"/>
    <xf numFmtId="181" fontId="36" fillId="0" borderId="24" xfId="79" applyNumberFormat="1" applyFont="1" applyFill="1" applyBorder="1"/>
    <xf numFmtId="0" fontId="36" fillId="0" borderId="0" xfId="79" applyFont="1" applyFill="1" applyBorder="1" applyAlignment="1">
      <alignment horizontal="center"/>
    </xf>
    <xf numFmtId="0" fontId="35" fillId="0" borderId="0" xfId="79" applyFont="1" applyFill="1" applyBorder="1" applyAlignment="1">
      <alignment horizontal="center" wrapText="1"/>
    </xf>
    <xf numFmtId="181" fontId="37" fillId="0" borderId="0" xfId="79" applyNumberFormat="1" applyFont="1" applyFill="1" applyBorder="1" applyAlignment="1">
      <alignment horizontal="center"/>
    </xf>
    <xf numFmtId="0" fontId="36" fillId="0" borderId="69" xfId="79" applyFont="1" applyFill="1" applyBorder="1" applyAlignment="1">
      <alignment horizontal="center"/>
    </xf>
    <xf numFmtId="0" fontId="10" fillId="0" borderId="49" xfId="55" applyFont="1" applyBorder="1"/>
    <xf numFmtId="0" fontId="30" fillId="30" borderId="0" xfId="55" applyFont="1" applyFill="1"/>
    <xf numFmtId="194" fontId="21" fillId="30" borderId="13" xfId="55" applyNumberFormat="1" applyFill="1" applyBorder="1"/>
    <xf numFmtId="0" fontId="29" fillId="0" borderId="41" xfId="55" applyFont="1" applyBorder="1" applyAlignment="1">
      <alignment horizontal="center" vertical="justify"/>
    </xf>
    <xf numFmtId="173" fontId="29" fillId="0" borderId="32" xfId="55" applyNumberFormat="1" applyFont="1" applyBorder="1" applyAlignment="1">
      <alignment vertical="center"/>
    </xf>
    <xf numFmtId="194" fontId="21" fillId="30" borderId="13" xfId="55" applyNumberFormat="1" applyFill="1" applyBorder="1" applyAlignment="1">
      <alignment vertical="center"/>
    </xf>
    <xf numFmtId="0" fontId="61" fillId="30" borderId="13" xfId="307" applyFont="1" applyFill="1" applyBorder="1" applyAlignment="1">
      <alignment horizontal="center"/>
    </xf>
    <xf numFmtId="0" fontId="36" fillId="0" borderId="60" xfId="79" applyFont="1" applyFill="1" applyBorder="1" applyAlignment="1">
      <alignment horizontal="center"/>
    </xf>
    <xf numFmtId="0" fontId="36" fillId="0" borderId="36" xfId="79" applyFont="1" applyFill="1" applyBorder="1"/>
    <xf numFmtId="2" fontId="78" fillId="0" borderId="13" xfId="0" applyNumberFormat="1" applyFont="1" applyFill="1" applyBorder="1" applyAlignment="1">
      <alignment horizontal="right" vertical="center" wrapText="1" indent="1"/>
    </xf>
    <xf numFmtId="2" fontId="77" fillId="25" borderId="13" xfId="0" applyNumberFormat="1" applyFont="1" applyFill="1" applyBorder="1" applyAlignment="1">
      <alignment horizontal="right" vertical="center" wrapText="1" indent="1"/>
    </xf>
    <xf numFmtId="2" fontId="77" fillId="0" borderId="13" xfId="0" applyNumberFormat="1" applyFont="1" applyFill="1" applyBorder="1" applyAlignment="1">
      <alignment horizontal="right" vertical="center" indent="1"/>
    </xf>
    <xf numFmtId="2" fontId="77" fillId="27" borderId="13" xfId="0" applyNumberFormat="1" applyFont="1" applyFill="1" applyBorder="1" applyAlignment="1">
      <alignment horizontal="right" vertical="center" wrapText="1" indent="1"/>
    </xf>
    <xf numFmtId="2" fontId="77" fillId="0" borderId="13" xfId="0" applyNumberFormat="1" applyFont="1" applyFill="1" applyBorder="1" applyAlignment="1">
      <alignment horizontal="right" indent="1"/>
    </xf>
    <xf numFmtId="2" fontId="77" fillId="29" borderId="13" xfId="0" applyNumberFormat="1" applyFont="1" applyFill="1" applyBorder="1" applyAlignment="1">
      <alignment horizontal="right" indent="1"/>
    </xf>
    <xf numFmtId="2" fontId="82" fillId="0" borderId="13" xfId="0" applyNumberFormat="1" applyFont="1" applyFill="1" applyBorder="1" applyAlignment="1">
      <alignment horizontal="right" indent="1"/>
    </xf>
    <xf numFmtId="2" fontId="39" fillId="0" borderId="0" xfId="0" applyNumberFormat="1" applyFont="1" applyFill="1" applyBorder="1" applyAlignment="1">
      <alignment horizontal="right" indent="1"/>
    </xf>
    <xf numFmtId="2" fontId="21" fillId="0" borderId="0" xfId="60" applyNumberFormat="1" applyAlignment="1">
      <alignment horizontal="right" indent="1"/>
    </xf>
    <xf numFmtId="2" fontId="30" fillId="0" borderId="0" xfId="60" applyNumberFormat="1" applyFont="1" applyFill="1" applyBorder="1" applyAlignment="1">
      <alignment horizontal="right" indent="1"/>
    </xf>
    <xf numFmtId="2" fontId="21" fillId="0" borderId="0" xfId="65" applyNumberFormat="1" applyFont="1" applyFill="1" applyBorder="1" applyAlignment="1">
      <alignment horizontal="right" indent="1"/>
    </xf>
    <xf numFmtId="2" fontId="21" fillId="0" borderId="0" xfId="60" applyNumberFormat="1" applyFill="1" applyBorder="1" applyAlignment="1">
      <alignment horizontal="right" indent="1"/>
    </xf>
    <xf numFmtId="0" fontId="10" fillId="0" borderId="0" xfId="122"/>
    <xf numFmtId="0" fontId="83" fillId="74" borderId="13" xfId="122" applyFont="1" applyFill="1" applyBorder="1"/>
    <xf numFmtId="0" fontId="83" fillId="74" borderId="13" xfId="122" applyFont="1" applyFill="1" applyBorder="1" applyAlignment="1">
      <alignment horizontal="center" vertical="center"/>
    </xf>
    <xf numFmtId="2" fontId="83" fillId="74" borderId="13" xfId="122" applyNumberFormat="1" applyFont="1" applyFill="1" applyBorder="1" applyAlignment="1"/>
    <xf numFmtId="2" fontId="83" fillId="74" borderId="13" xfId="122" applyNumberFormat="1" applyFont="1" applyFill="1" applyBorder="1"/>
    <xf numFmtId="1" fontId="83" fillId="74" borderId="13" xfId="122" applyNumberFormat="1" applyFont="1" applyFill="1" applyBorder="1" applyAlignment="1">
      <alignment horizontal="center" vertical="center"/>
    </xf>
    <xf numFmtId="0" fontId="58" fillId="34" borderId="0" xfId="122" applyFont="1" applyFill="1" applyBorder="1" applyAlignment="1">
      <alignment horizontal="center" vertical="center"/>
    </xf>
    <xf numFmtId="0" fontId="83" fillId="74" borderId="0" xfId="122" applyFont="1" applyFill="1" applyBorder="1"/>
    <xf numFmtId="0" fontId="84" fillId="34" borderId="13" xfId="309" applyFont="1" applyFill="1" applyBorder="1" applyAlignment="1">
      <alignment horizontal="center"/>
    </xf>
    <xf numFmtId="0" fontId="85" fillId="34" borderId="13" xfId="309" applyFont="1" applyFill="1" applyBorder="1" applyAlignment="1">
      <alignment horizontal="center"/>
    </xf>
    <xf numFmtId="0" fontId="86" fillId="74" borderId="13" xfId="309" applyFont="1" applyFill="1" applyBorder="1" applyAlignment="1">
      <alignment horizontal="center"/>
    </xf>
    <xf numFmtId="2" fontId="86" fillId="74" borderId="13" xfId="309" applyNumberFormat="1" applyFont="1" applyFill="1" applyBorder="1" applyAlignment="1">
      <alignment horizontal="center"/>
    </xf>
    <xf numFmtId="0" fontId="83" fillId="74" borderId="13" xfId="122" applyFont="1" applyFill="1" applyBorder="1" applyAlignment="1">
      <alignment horizontal="center"/>
    </xf>
    <xf numFmtId="0" fontId="10" fillId="0" borderId="13" xfId="122" applyBorder="1"/>
    <xf numFmtId="0" fontId="77" fillId="0" borderId="0" xfId="309" applyFont="1" applyAlignment="1">
      <alignment horizontal="center"/>
    </xf>
    <xf numFmtId="0" fontId="83" fillId="74" borderId="13" xfId="122" applyFont="1" applyFill="1" applyBorder="1" applyAlignment="1">
      <alignment horizontal="center" vertical="center"/>
    </xf>
    <xf numFmtId="0" fontId="10" fillId="0" borderId="0" xfId="122" applyAlignment="1">
      <alignment horizontal="center"/>
    </xf>
    <xf numFmtId="185" fontId="83" fillId="74" borderId="13" xfId="122" applyNumberFormat="1" applyFont="1" applyFill="1" applyBorder="1" applyAlignment="1">
      <alignment horizontal="center"/>
    </xf>
    <xf numFmtId="2" fontId="83" fillId="74" borderId="13" xfId="122" applyNumberFormat="1" applyFont="1" applyFill="1" applyBorder="1" applyAlignment="1">
      <alignment horizontal="center"/>
    </xf>
    <xf numFmtId="2" fontId="83" fillId="74" borderId="13" xfId="122" applyNumberFormat="1" applyFont="1" applyFill="1" applyBorder="1" applyAlignment="1">
      <alignment horizontal="right" vertical="center"/>
    </xf>
    <xf numFmtId="2" fontId="83" fillId="74" borderId="0" xfId="122" applyNumberFormat="1" applyFont="1" applyFill="1" applyBorder="1" applyAlignment="1">
      <alignment horizontal="right"/>
    </xf>
    <xf numFmtId="2" fontId="83" fillId="74" borderId="0" xfId="122" applyNumberFormat="1" applyFont="1" applyFill="1" applyBorder="1"/>
    <xf numFmtId="1" fontId="83" fillId="74" borderId="13" xfId="122" applyNumberFormat="1" applyFont="1" applyFill="1" applyBorder="1" applyAlignment="1">
      <alignment horizontal="right" vertical="center" indent="3"/>
    </xf>
    <xf numFmtId="0" fontId="83" fillId="74" borderId="13" xfId="122" applyFont="1" applyFill="1" applyBorder="1" applyAlignment="1">
      <alignment horizontal="center" vertical="center"/>
    </xf>
    <xf numFmtId="185" fontId="83" fillId="74" borderId="13" xfId="122" applyNumberFormat="1" applyFont="1" applyFill="1" applyBorder="1" applyAlignment="1">
      <alignment horizontal="right"/>
    </xf>
    <xf numFmtId="2" fontId="88" fillId="74" borderId="13" xfId="122" applyNumberFormat="1" applyFont="1" applyFill="1" applyBorder="1" applyAlignment="1">
      <alignment horizontal="right" vertical="center"/>
    </xf>
    <xf numFmtId="1" fontId="88" fillId="74" borderId="13" xfId="122" applyNumberFormat="1" applyFont="1" applyFill="1" applyBorder="1" applyAlignment="1">
      <alignment horizontal="right" vertical="center" indent="3"/>
    </xf>
    <xf numFmtId="0" fontId="50" fillId="0" borderId="0" xfId="122" applyFont="1"/>
    <xf numFmtId="2" fontId="10" fillId="0" borderId="13" xfId="122" applyNumberFormat="1" applyBorder="1"/>
    <xf numFmtId="2" fontId="10" fillId="0" borderId="0" xfId="122" applyNumberFormat="1"/>
    <xf numFmtId="185" fontId="10" fillId="0" borderId="13" xfId="122" applyNumberFormat="1" applyBorder="1"/>
    <xf numFmtId="0" fontId="36" fillId="0" borderId="0" xfId="0" applyFont="1" applyFill="1" applyAlignment="1">
      <alignment vertical="center"/>
    </xf>
    <xf numFmtId="2" fontId="10" fillId="0" borderId="13" xfId="122" applyNumberFormat="1" applyBorder="1" applyAlignment="1">
      <alignment vertical="center"/>
    </xf>
    <xf numFmtId="0" fontId="10" fillId="0" borderId="0" xfId="122" applyAlignment="1">
      <alignment vertical="center"/>
    </xf>
    <xf numFmtId="0" fontId="0" fillId="29" borderId="0" xfId="0" applyFill="1" applyBorder="1"/>
    <xf numFmtId="0" fontId="77" fillId="29" borderId="13" xfId="0" applyFont="1" applyFill="1" applyBorder="1" applyAlignment="1">
      <alignment horizontal="left" vertical="center" wrapText="1"/>
    </xf>
    <xf numFmtId="0" fontId="77" fillId="29" borderId="13" xfId="0" applyFont="1" applyFill="1" applyBorder="1" applyAlignment="1">
      <alignment horizontal="center" vertical="center"/>
    </xf>
    <xf numFmtId="181" fontId="77" fillId="29" borderId="13" xfId="0" applyNumberFormat="1" applyFont="1" applyFill="1" applyBorder="1"/>
    <xf numFmtId="171" fontId="0" fillId="29" borderId="0" xfId="43" applyFont="1" applyFill="1" applyBorder="1"/>
    <xf numFmtId="2" fontId="77" fillId="29" borderId="13" xfId="0" applyNumberFormat="1" applyFont="1" applyFill="1" applyBorder="1" applyAlignment="1">
      <alignment horizontal="right" vertical="center" indent="1"/>
    </xf>
    <xf numFmtId="181" fontId="78" fillId="0" borderId="13" xfId="0" applyNumberFormat="1" applyFont="1" applyFill="1" applyBorder="1" applyAlignment="1">
      <alignment horizontal="center" vertical="center" wrapText="1"/>
    </xf>
    <xf numFmtId="181" fontId="78" fillId="25" borderId="13" xfId="0" applyNumberFormat="1" applyFont="1" applyFill="1" applyBorder="1" applyAlignment="1">
      <alignment horizontal="center" vertical="center" wrapText="1"/>
    </xf>
    <xf numFmtId="181" fontId="78" fillId="27" borderId="13" xfId="0" applyNumberFormat="1" applyFont="1" applyFill="1" applyBorder="1" applyAlignment="1">
      <alignment horizontal="center" vertical="center" wrapText="1"/>
    </xf>
    <xf numFmtId="173" fontId="77" fillId="43" borderId="50" xfId="0" applyNumberFormat="1" applyFont="1" applyFill="1" applyBorder="1"/>
    <xf numFmtId="181" fontId="77" fillId="29" borderId="13" xfId="0" applyNumberFormat="1" applyFont="1" applyFill="1" applyBorder="1" applyAlignment="1">
      <alignment vertical="center"/>
    </xf>
    <xf numFmtId="181" fontId="78" fillId="0" borderId="13" xfId="0" applyNumberFormat="1" applyFont="1" applyFill="1" applyBorder="1" applyAlignment="1">
      <alignment vertical="center" wrapText="1"/>
    </xf>
    <xf numFmtId="181" fontId="10" fillId="0" borderId="0" xfId="0" applyNumberFormat="1" applyFont="1" applyFill="1" applyBorder="1"/>
    <xf numFmtId="173" fontId="10" fillId="27" borderId="0" xfId="0" applyNumberFormat="1" applyFont="1" applyFill="1" applyBorder="1"/>
    <xf numFmtId="0" fontId="10" fillId="0" borderId="0" xfId="122" applyFont="1"/>
    <xf numFmtId="0" fontId="10" fillId="0" borderId="0" xfId="55" applyFont="1"/>
    <xf numFmtId="182" fontId="10" fillId="0" borderId="0" xfId="63" applyNumberFormat="1" applyFont="1"/>
    <xf numFmtId="0" fontId="43" fillId="0" borderId="41" xfId="55" applyFont="1" applyBorder="1" applyAlignment="1">
      <alignment wrapText="1"/>
    </xf>
    <xf numFmtId="10" fontId="77" fillId="0" borderId="13" xfId="0" applyNumberFormat="1" applyFont="1" applyFill="1" applyBorder="1" applyAlignment="1">
      <alignment horizontal="center" vertical="center"/>
    </xf>
    <xf numFmtId="0" fontId="40" fillId="34" borderId="13" xfId="122" applyFont="1" applyFill="1" applyBorder="1" applyAlignment="1">
      <alignment horizontal="center" vertical="center" wrapText="1"/>
    </xf>
    <xf numFmtId="0" fontId="78" fillId="0" borderId="13" xfId="0" applyFont="1" applyFill="1" applyBorder="1" applyAlignment="1">
      <alignment horizontal="right" vertical="center" wrapText="1"/>
    </xf>
    <xf numFmtId="0" fontId="77" fillId="25" borderId="13" xfId="0" applyFont="1" applyFill="1" applyBorder="1" applyAlignment="1">
      <alignment horizontal="right" vertical="center" wrapText="1"/>
    </xf>
    <xf numFmtId="0" fontId="77" fillId="27" borderId="13" xfId="0" applyFont="1" applyFill="1" applyBorder="1" applyAlignment="1">
      <alignment horizontal="right" vertical="center" wrapText="1"/>
    </xf>
    <xf numFmtId="181" fontId="77" fillId="0" borderId="13" xfId="0" applyNumberFormat="1" applyFont="1" applyFill="1" applyBorder="1" applyAlignment="1">
      <alignment horizontal="right"/>
    </xf>
    <xf numFmtId="181" fontId="77" fillId="29" borderId="13" xfId="0" applyNumberFormat="1" applyFont="1" applyFill="1" applyBorder="1" applyAlignment="1">
      <alignment horizontal="right"/>
    </xf>
    <xf numFmtId="0" fontId="77" fillId="0" borderId="13" xfId="0" applyFont="1" applyFill="1" applyBorder="1" applyAlignment="1">
      <alignment horizontal="right"/>
    </xf>
    <xf numFmtId="0" fontId="82" fillId="0" borderId="13" xfId="0" applyFont="1" applyFill="1" applyBorder="1" applyAlignment="1">
      <alignment horizontal="right"/>
    </xf>
    <xf numFmtId="0" fontId="39" fillId="0" borderId="0" xfId="0" applyFont="1" applyFill="1" applyBorder="1" applyAlignment="1">
      <alignment horizontal="right"/>
    </xf>
    <xf numFmtId="173" fontId="39" fillId="0" borderId="0" xfId="0" applyNumberFormat="1" applyFont="1" applyFill="1" applyBorder="1" applyAlignment="1">
      <alignment horizontal="right"/>
    </xf>
    <xf numFmtId="173" fontId="21" fillId="0" borderId="0" xfId="60" applyNumberFormat="1" applyFill="1" applyBorder="1" applyAlignment="1">
      <alignment horizontal="right"/>
    </xf>
    <xf numFmtId="171" fontId="21" fillId="0" borderId="0" xfId="52" applyFont="1" applyFill="1" applyBorder="1" applyAlignment="1">
      <alignment horizontal="right"/>
    </xf>
    <xf numFmtId="0" fontId="0" fillId="75" borderId="0" xfId="0" applyFill="1" applyBorder="1" applyAlignment="1">
      <alignment horizontal="center"/>
    </xf>
    <xf numFmtId="173" fontId="0" fillId="75" borderId="0" xfId="0" applyNumberFormat="1" applyFill="1" applyBorder="1" applyAlignment="1">
      <alignment horizontal="center"/>
    </xf>
    <xf numFmtId="192" fontId="0" fillId="75" borderId="0" xfId="0" applyNumberFormat="1" applyFill="1" applyBorder="1" applyAlignment="1">
      <alignment horizontal="center"/>
    </xf>
    <xf numFmtId="0" fontId="40" fillId="74" borderId="0" xfId="122" applyFont="1" applyFill="1" applyBorder="1" applyAlignment="1">
      <alignment horizontal="center" vertical="center"/>
    </xf>
    <xf numFmtId="0" fontId="40" fillId="74" borderId="0" xfId="122" applyFont="1" applyFill="1" applyBorder="1" applyAlignment="1">
      <alignment horizontal="center"/>
    </xf>
    <xf numFmtId="0" fontId="83" fillId="74" borderId="0" xfId="122" applyFont="1" applyFill="1" applyBorder="1" applyAlignment="1">
      <alignment horizontal="center"/>
    </xf>
    <xf numFmtId="185" fontId="83" fillId="74" borderId="0" xfId="122" applyNumberFormat="1" applyFont="1" applyFill="1" applyBorder="1" applyAlignment="1">
      <alignment horizontal="center"/>
    </xf>
    <xf numFmtId="0" fontId="83" fillId="74" borderId="0" xfId="122" applyFont="1" applyFill="1" applyBorder="1" applyAlignment="1">
      <alignment horizontal="center" vertical="center"/>
    </xf>
    <xf numFmtId="2" fontId="83" fillId="74" borderId="0" xfId="122" applyNumberFormat="1" applyFont="1" applyFill="1" applyBorder="1" applyAlignment="1">
      <alignment horizontal="center"/>
    </xf>
    <xf numFmtId="185" fontId="83" fillId="74" borderId="0" xfId="122" applyNumberFormat="1" applyFont="1" applyFill="1" applyBorder="1" applyAlignment="1">
      <alignment horizontal="right"/>
    </xf>
    <xf numFmtId="2" fontId="83" fillId="74" borderId="0" xfId="122" applyNumberFormat="1" applyFont="1" applyFill="1" applyBorder="1" applyAlignment="1">
      <alignment horizontal="center" vertical="center"/>
    </xf>
    <xf numFmtId="1" fontId="83" fillId="74" borderId="0" xfId="122" applyNumberFormat="1" applyFont="1" applyFill="1" applyBorder="1" applyAlignment="1">
      <alignment horizontal="center" vertical="center"/>
    </xf>
    <xf numFmtId="2" fontId="83" fillId="74" borderId="0" xfId="122" applyNumberFormat="1" applyFont="1" applyFill="1" applyBorder="1" applyAlignment="1">
      <alignment horizontal="right" vertical="center"/>
    </xf>
    <xf numFmtId="0" fontId="10" fillId="74" borderId="0" xfId="122" applyFill="1" applyBorder="1" applyAlignment="1">
      <alignment horizontal="center" vertical="center"/>
    </xf>
    <xf numFmtId="1" fontId="83" fillId="74" borderId="0" xfId="122" applyNumberFormat="1" applyFont="1" applyFill="1" applyBorder="1" applyAlignment="1">
      <alignment horizontal="right" vertical="center" indent="3"/>
    </xf>
    <xf numFmtId="49" fontId="78" fillId="76" borderId="13" xfId="0" applyNumberFormat="1" applyFont="1" applyFill="1" applyBorder="1" applyAlignment="1">
      <alignment horizontal="center" vertical="center"/>
    </xf>
    <xf numFmtId="1" fontId="87" fillId="0" borderId="13" xfId="56" applyNumberFormat="1" applyFont="1" applyFill="1" applyBorder="1" applyAlignment="1">
      <alignment horizontal="center" vertical="center"/>
    </xf>
    <xf numFmtId="2" fontId="77" fillId="0" borderId="13" xfId="76" applyNumberFormat="1" applyFont="1" applyFill="1" applyBorder="1" applyAlignment="1">
      <alignment horizontal="center"/>
    </xf>
    <xf numFmtId="49" fontId="78" fillId="30" borderId="13" xfId="0" applyNumberFormat="1" applyFont="1" applyFill="1" applyBorder="1" applyAlignment="1">
      <alignment horizontal="center" vertical="center"/>
    </xf>
    <xf numFmtId="2" fontId="77" fillId="30" borderId="13" xfId="76" applyNumberFormat="1" applyFont="1" applyFill="1" applyBorder="1" applyAlignment="1">
      <alignment horizontal="center"/>
    </xf>
    <xf numFmtId="0" fontId="70" fillId="76" borderId="13" xfId="59" applyFont="1" applyFill="1" applyBorder="1" applyAlignment="1">
      <alignment horizontal="center"/>
    </xf>
    <xf numFmtId="0" fontId="90" fillId="76" borderId="18" xfId="59" applyFont="1" applyFill="1" applyBorder="1" applyAlignment="1">
      <alignment horizontal="center" vertical="center"/>
    </xf>
    <xf numFmtId="49" fontId="91" fillId="76" borderId="12" xfId="0" applyNumberFormat="1" applyFont="1" applyFill="1" applyBorder="1" applyAlignment="1">
      <alignment horizontal="center" vertical="center"/>
    </xf>
    <xf numFmtId="185" fontId="83" fillId="74" borderId="13" xfId="122" applyNumberFormat="1" applyFont="1" applyFill="1" applyBorder="1"/>
    <xf numFmtId="185" fontId="83" fillId="74" borderId="13" xfId="122" applyNumberFormat="1" applyFont="1" applyFill="1" applyBorder="1" applyAlignment="1"/>
    <xf numFmtId="0" fontId="85" fillId="34" borderId="0" xfId="309" applyFont="1" applyFill="1" applyBorder="1" applyAlignment="1">
      <alignment horizontal="center"/>
    </xf>
    <xf numFmtId="185" fontId="87" fillId="0" borderId="13" xfId="56" applyNumberFormat="1" applyFont="1" applyFill="1" applyBorder="1" applyAlignment="1">
      <alignment horizontal="center" vertical="center"/>
    </xf>
    <xf numFmtId="0" fontId="83" fillId="30" borderId="13" xfId="122" applyFont="1" applyFill="1" applyBorder="1" applyAlignment="1">
      <alignment horizontal="center" vertical="center"/>
    </xf>
    <xf numFmtId="0" fontId="79" fillId="0" borderId="13" xfId="0" applyFont="1" applyFill="1" applyBorder="1" applyAlignment="1">
      <alignment horizontal="center" vertical="center" wrapText="1"/>
    </xf>
    <xf numFmtId="0" fontId="80" fillId="0" borderId="13" xfId="0" applyFont="1" applyFill="1" applyBorder="1" applyAlignment="1">
      <alignment horizontal="center" vertical="center"/>
    </xf>
    <xf numFmtId="181" fontId="81" fillId="0" borderId="13" xfId="0" applyNumberFormat="1" applyFont="1" applyFill="1" applyBorder="1" applyAlignment="1">
      <alignment horizontal="center" vertical="center"/>
    </xf>
    <xf numFmtId="0" fontId="79" fillId="0" borderId="13" xfId="0" applyFont="1" applyFill="1" applyBorder="1" applyAlignment="1">
      <alignment horizontal="center"/>
    </xf>
    <xf numFmtId="0" fontId="10" fillId="0" borderId="13" xfId="122" applyBorder="1" applyAlignment="1">
      <alignment horizontal="center" vertical="center"/>
    </xf>
    <xf numFmtId="0" fontId="78" fillId="43" borderId="49" xfId="0" applyFont="1" applyFill="1" applyBorder="1" applyAlignment="1">
      <alignment horizontal="center" vertical="center" wrapText="1"/>
    </xf>
    <xf numFmtId="0" fontId="78" fillId="0" borderId="13" xfId="0" applyFont="1" applyFill="1" applyBorder="1" applyAlignment="1">
      <alignment horizontal="center" vertical="center" wrapText="1"/>
    </xf>
    <xf numFmtId="0" fontId="78" fillId="27" borderId="13" xfId="0" applyFont="1" applyFill="1" applyBorder="1" applyAlignment="1">
      <alignment horizontal="center" vertical="center" wrapText="1"/>
    </xf>
    <xf numFmtId="0" fontId="36" fillId="0" borderId="67" xfId="79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70" fillId="76" borderId="16" xfId="59" applyFont="1" applyFill="1" applyBorder="1" applyAlignment="1">
      <alignment vertical="center"/>
    </xf>
    <xf numFmtId="0" fontId="70" fillId="76" borderId="18" xfId="59" applyFont="1" applyFill="1" applyBorder="1" applyAlignment="1">
      <alignment vertical="center" wrapText="1"/>
    </xf>
    <xf numFmtId="0" fontId="45" fillId="0" borderId="0" xfId="0" applyFont="1" applyFill="1" applyAlignment="1">
      <alignment horizontal="center"/>
    </xf>
    <xf numFmtId="0" fontId="36" fillId="0" borderId="51" xfId="0" applyFont="1" applyFill="1" applyBorder="1" applyAlignment="1">
      <alignment horizontal="center"/>
    </xf>
    <xf numFmtId="0" fontId="36" fillId="0" borderId="53" xfId="0" applyFont="1" applyFill="1" applyBorder="1"/>
    <xf numFmtId="0" fontId="36" fillId="0" borderId="56" xfId="0" applyFont="1" applyFill="1" applyBorder="1" applyAlignment="1">
      <alignment horizontal="center"/>
    </xf>
    <xf numFmtId="181" fontId="36" fillId="0" borderId="35" xfId="0" applyNumberFormat="1" applyFont="1" applyFill="1" applyBorder="1"/>
    <xf numFmtId="181" fontId="36" fillId="0" borderId="36" xfId="0" applyNumberFormat="1" applyFont="1" applyFill="1" applyBorder="1"/>
    <xf numFmtId="0" fontId="36" fillId="0" borderId="49" xfId="0" applyFont="1" applyFill="1" applyBorder="1" applyAlignment="1">
      <alignment horizontal="center"/>
    </xf>
    <xf numFmtId="181" fontId="36" fillId="0" borderId="50" xfId="0" applyNumberFormat="1" applyFont="1" applyFill="1" applyBorder="1"/>
    <xf numFmtId="0" fontId="36" fillId="0" borderId="25" xfId="0" applyFont="1" applyFill="1" applyBorder="1" applyAlignment="1">
      <alignment horizontal="center"/>
    </xf>
    <xf numFmtId="0" fontId="36" fillId="0" borderId="26" xfId="0" applyFont="1" applyFill="1" applyBorder="1"/>
    <xf numFmtId="0" fontId="36" fillId="0" borderId="54" xfId="0" applyFont="1" applyFill="1" applyBorder="1" applyAlignment="1">
      <alignment horizontal="center"/>
    </xf>
    <xf numFmtId="181" fontId="36" fillId="0" borderId="0" xfId="0" applyNumberFormat="1" applyFont="1" applyFill="1" applyBorder="1"/>
    <xf numFmtId="0" fontId="36" fillId="0" borderId="13" xfId="0" applyFont="1" applyFill="1" applyBorder="1"/>
    <xf numFmtId="0" fontId="36" fillId="0" borderId="13" xfId="0" applyFont="1" applyFill="1" applyBorder="1" applyAlignment="1">
      <alignment horizontal="center"/>
    </xf>
    <xf numFmtId="181" fontId="36" fillId="0" borderId="51" xfId="0" applyNumberFormat="1" applyFont="1" applyFill="1" applyBorder="1"/>
    <xf numFmtId="0" fontId="36" fillId="0" borderId="59" xfId="0" applyFont="1" applyFill="1" applyBorder="1"/>
    <xf numFmtId="0" fontId="36" fillId="0" borderId="59" xfId="0" applyFont="1" applyFill="1" applyBorder="1" applyAlignment="1">
      <alignment horizontal="center"/>
    </xf>
    <xf numFmtId="0" fontId="35" fillId="0" borderId="69" xfId="79" applyFont="1" applyFill="1" applyBorder="1" applyAlignment="1">
      <alignment horizontal="center"/>
    </xf>
    <xf numFmtId="0" fontId="35" fillId="0" borderId="48" xfId="79" applyFont="1" applyFill="1" applyBorder="1" applyAlignment="1">
      <alignment horizontal="center"/>
    </xf>
    <xf numFmtId="181" fontId="35" fillId="0" borderId="51" xfId="79" applyNumberFormat="1" applyFont="1" applyFill="1" applyBorder="1" applyAlignment="1">
      <alignment horizontal="center"/>
    </xf>
    <xf numFmtId="181" fontId="35" fillId="0" borderId="52" xfId="79" applyNumberFormat="1" applyFont="1" applyFill="1" applyBorder="1" applyAlignment="1">
      <alignment horizontal="center"/>
    </xf>
    <xf numFmtId="181" fontId="35" fillId="0" borderId="52" xfId="79" applyNumberFormat="1" applyFont="1" applyFill="1" applyBorder="1"/>
    <xf numFmtId="181" fontId="35" fillId="0" borderId="53" xfId="79" applyNumberFormat="1" applyFont="1" applyFill="1" applyBorder="1" applyAlignment="1">
      <alignment horizontal="center"/>
    </xf>
    <xf numFmtId="0" fontId="36" fillId="0" borderId="47" xfId="79" applyFont="1" applyFill="1" applyBorder="1" applyAlignment="1">
      <alignment horizontal="center" vertical="center" wrapText="1"/>
    </xf>
    <xf numFmtId="0" fontId="35" fillId="0" borderId="67" xfId="79" applyFont="1" applyFill="1" applyBorder="1" applyAlignment="1">
      <alignment horizontal="center"/>
    </xf>
    <xf numFmtId="181" fontId="36" fillId="0" borderId="25" xfId="79" applyNumberFormat="1" applyFont="1" applyFill="1" applyBorder="1"/>
    <xf numFmtId="181" fontId="36" fillId="0" borderId="16" xfId="79" applyNumberFormat="1" applyFont="1" applyFill="1" applyBorder="1"/>
    <xf numFmtId="181" fontId="36" fillId="0" borderId="26" xfId="79" applyNumberFormat="1" applyFont="1" applyFill="1" applyBorder="1"/>
    <xf numFmtId="181" fontId="36" fillId="0" borderId="35" xfId="79" applyNumberFormat="1" applyFont="1" applyFill="1" applyBorder="1"/>
    <xf numFmtId="181" fontId="36" fillId="0" borderId="18" xfId="79" applyNumberFormat="1" applyFont="1" applyFill="1" applyBorder="1"/>
    <xf numFmtId="181" fontId="36" fillId="0" borderId="36" xfId="79" applyNumberFormat="1" applyFont="1" applyFill="1" applyBorder="1"/>
    <xf numFmtId="0" fontId="36" fillId="0" borderId="20" xfId="79" applyFont="1" applyFill="1" applyBorder="1" applyAlignment="1">
      <alignment horizontal="center"/>
    </xf>
    <xf numFmtId="0" fontId="36" fillId="0" borderId="57" xfId="79" applyFont="1" applyFill="1" applyBorder="1" applyAlignment="1">
      <alignment horizontal="center"/>
    </xf>
    <xf numFmtId="0" fontId="36" fillId="0" borderId="0" xfId="79" applyFont="1" applyFill="1" applyAlignment="1">
      <alignment horizontal="center"/>
    </xf>
    <xf numFmtId="0" fontId="36" fillId="0" borderId="61" xfId="0" applyFont="1" applyFill="1" applyBorder="1"/>
    <xf numFmtId="0" fontId="36" fillId="0" borderId="12" xfId="0" applyFont="1" applyFill="1" applyBorder="1"/>
    <xf numFmtId="0" fontId="36" fillId="0" borderId="52" xfId="0" applyFont="1" applyFill="1" applyBorder="1"/>
    <xf numFmtId="0" fontId="36" fillId="0" borderId="35" xfId="0" applyFont="1" applyFill="1" applyBorder="1" applyAlignment="1">
      <alignment horizontal="center"/>
    </xf>
    <xf numFmtId="181" fontId="36" fillId="0" borderId="22" xfId="0" applyNumberFormat="1" applyFont="1" applyFill="1" applyBorder="1"/>
    <xf numFmtId="181" fontId="36" fillId="0" borderId="69" xfId="0" applyNumberFormat="1" applyFont="1" applyFill="1" applyBorder="1"/>
    <xf numFmtId="0" fontId="36" fillId="0" borderId="71" xfId="0" applyFont="1" applyFill="1" applyBorder="1"/>
    <xf numFmtId="0" fontId="36" fillId="0" borderId="72" xfId="0" applyFont="1" applyFill="1" applyBorder="1"/>
    <xf numFmtId="0" fontId="36" fillId="0" borderId="73" xfId="0" applyFont="1" applyFill="1" applyBorder="1"/>
    <xf numFmtId="0" fontId="36" fillId="0" borderId="0" xfId="0" applyFont="1" applyFill="1" applyBorder="1" applyAlignment="1">
      <alignment horizontal="center"/>
    </xf>
    <xf numFmtId="0" fontId="35" fillId="0" borderId="47" xfId="79" applyFont="1" applyFill="1" applyBorder="1" applyAlignment="1">
      <alignment horizontal="center" wrapText="1"/>
    </xf>
    <xf numFmtId="0" fontId="36" fillId="0" borderId="25" xfId="79" applyFont="1" applyFill="1" applyBorder="1" applyAlignment="1">
      <alignment horizontal="center"/>
    </xf>
    <xf numFmtId="0" fontId="36" fillId="0" borderId="26" xfId="79" applyFont="1" applyFill="1" applyBorder="1"/>
    <xf numFmtId="181" fontId="36" fillId="0" borderId="44" xfId="79" applyNumberFormat="1" applyFont="1" applyFill="1" applyBorder="1"/>
    <xf numFmtId="181" fontId="36" fillId="0" borderId="34" xfId="79" applyNumberFormat="1" applyFont="1" applyFill="1" applyBorder="1"/>
    <xf numFmtId="0" fontId="36" fillId="0" borderId="59" xfId="79" applyFont="1" applyFill="1" applyBorder="1"/>
    <xf numFmtId="0" fontId="79" fillId="0" borderId="69" xfId="0" applyFont="1" applyFill="1" applyBorder="1" applyAlignment="1">
      <alignment horizontal="center" vertical="center"/>
    </xf>
    <xf numFmtId="0" fontId="79" fillId="0" borderId="48" xfId="0" applyFont="1" applyFill="1" applyBorder="1" applyAlignment="1">
      <alignment horizontal="center" vertical="center" wrapText="1"/>
    </xf>
    <xf numFmtId="0" fontId="80" fillId="0" borderId="69" xfId="0" applyFont="1" applyFill="1" applyBorder="1" applyAlignment="1">
      <alignment horizontal="center" vertical="center"/>
    </xf>
    <xf numFmtId="181" fontId="81" fillId="0" borderId="69" xfId="0" applyNumberFormat="1" applyFont="1" applyFill="1" applyBorder="1" applyAlignment="1">
      <alignment horizontal="center" vertical="center"/>
    </xf>
    <xf numFmtId="0" fontId="79" fillId="0" borderId="28" xfId="0" applyFont="1" applyFill="1" applyBorder="1"/>
    <xf numFmtId="0" fontId="36" fillId="0" borderId="74" xfId="0" applyFont="1" applyFill="1" applyBorder="1"/>
    <xf numFmtId="0" fontId="36" fillId="0" borderId="67" xfId="0" applyFont="1" applyFill="1" applyBorder="1" applyAlignment="1">
      <alignment horizontal="center" vertical="center"/>
    </xf>
    <xf numFmtId="0" fontId="36" fillId="0" borderId="47" xfId="0" applyFont="1" applyFill="1" applyBorder="1" applyAlignment="1">
      <alignment horizontal="center" vertical="center" wrapText="1"/>
    </xf>
    <xf numFmtId="0" fontId="35" fillId="0" borderId="67" xfId="0" applyFont="1" applyFill="1" applyBorder="1" applyAlignment="1">
      <alignment horizontal="center" vertical="center"/>
    </xf>
    <xf numFmtId="181" fontId="37" fillId="0" borderId="67" xfId="0" applyNumberFormat="1" applyFont="1" applyFill="1" applyBorder="1" applyAlignment="1">
      <alignment horizontal="center" vertical="center"/>
    </xf>
    <xf numFmtId="0" fontId="36" fillId="0" borderId="49" xfId="0" applyFont="1" applyFill="1" applyBorder="1" applyAlignment="1">
      <alignment horizontal="center" vertical="center"/>
    </xf>
    <xf numFmtId="0" fontId="36" fillId="0" borderId="36" xfId="0" applyFont="1" applyFill="1" applyBorder="1" applyAlignment="1">
      <alignment vertical="center" wrapText="1"/>
    </xf>
    <xf numFmtId="0" fontId="36" fillId="0" borderId="60" xfId="0" applyFont="1" applyFill="1" applyBorder="1" applyAlignment="1">
      <alignment horizontal="center" vertical="center"/>
    </xf>
    <xf numFmtId="181" fontId="36" fillId="0" borderId="13" xfId="0" applyNumberFormat="1" applyFont="1" applyFill="1" applyBorder="1" applyAlignment="1">
      <alignment vertical="center"/>
    </xf>
    <xf numFmtId="0" fontId="36" fillId="0" borderId="27" xfId="0" applyFont="1" applyFill="1" applyBorder="1" applyAlignment="1">
      <alignment vertical="center"/>
    </xf>
    <xf numFmtId="181" fontId="36" fillId="0" borderId="49" xfId="0" applyNumberFormat="1" applyFont="1" applyFill="1" applyBorder="1" applyAlignment="1">
      <alignment vertical="center"/>
    </xf>
    <xf numFmtId="181" fontId="36" fillId="0" borderId="18" xfId="0" applyNumberFormat="1" applyFont="1" applyFill="1" applyBorder="1" applyAlignment="1">
      <alignment vertical="center"/>
    </xf>
    <xf numFmtId="181" fontId="36" fillId="0" borderId="36" xfId="0" applyNumberFormat="1" applyFont="1" applyFill="1" applyBorder="1" applyAlignment="1">
      <alignment vertical="center"/>
    </xf>
    <xf numFmtId="0" fontId="36" fillId="0" borderId="27" xfId="0" applyFont="1" applyFill="1" applyBorder="1"/>
    <xf numFmtId="0" fontId="36" fillId="0" borderId="10" xfId="0" applyFont="1" applyFill="1" applyBorder="1" applyAlignment="1">
      <alignment horizontal="center"/>
    </xf>
    <xf numFmtId="181" fontId="36" fillId="0" borderId="25" xfId="0" applyNumberFormat="1" applyFont="1" applyFill="1" applyBorder="1"/>
    <xf numFmtId="0" fontId="36" fillId="0" borderId="67" xfId="79" applyFont="1" applyFill="1" applyBorder="1" applyAlignment="1">
      <alignment horizontal="center" vertical="center"/>
    </xf>
    <xf numFmtId="0" fontId="35" fillId="0" borderId="67" xfId="79" applyFont="1" applyFill="1" applyBorder="1" applyAlignment="1">
      <alignment horizontal="center" vertical="center"/>
    </xf>
    <xf numFmtId="181" fontId="37" fillId="0" borderId="67" xfId="79" applyNumberFormat="1" applyFont="1" applyFill="1" applyBorder="1" applyAlignment="1">
      <alignment horizontal="center" vertical="center"/>
    </xf>
    <xf numFmtId="0" fontId="36" fillId="0" borderId="35" xfId="79" applyFont="1" applyFill="1" applyBorder="1" applyAlignment="1">
      <alignment horizontal="center"/>
    </xf>
    <xf numFmtId="0" fontId="36" fillId="0" borderId="64" xfId="79" applyFont="1" applyFill="1" applyBorder="1"/>
    <xf numFmtId="181" fontId="36" fillId="0" borderId="10" xfId="79" applyNumberFormat="1" applyFont="1" applyFill="1" applyBorder="1"/>
    <xf numFmtId="181" fontId="36" fillId="0" borderId="11" xfId="79" applyNumberFormat="1" applyFont="1" applyFill="1" applyBorder="1"/>
    <xf numFmtId="0" fontId="36" fillId="0" borderId="15" xfId="79" applyFont="1" applyFill="1" applyBorder="1"/>
    <xf numFmtId="0" fontId="36" fillId="0" borderId="10" xfId="79" applyFont="1" applyFill="1" applyBorder="1" applyAlignment="1">
      <alignment horizontal="center"/>
    </xf>
    <xf numFmtId="181" fontId="36" fillId="0" borderId="27" xfId="79" applyNumberFormat="1" applyFont="1" applyFill="1" applyBorder="1"/>
    <xf numFmtId="0" fontId="36" fillId="0" borderId="62" xfId="79" applyFont="1" applyFill="1" applyBorder="1"/>
    <xf numFmtId="196" fontId="36" fillId="0" borderId="50" xfId="79" applyNumberFormat="1" applyFont="1" applyFill="1" applyBorder="1"/>
    <xf numFmtId="181" fontId="36" fillId="0" borderId="45" xfId="79" applyNumberFormat="1" applyFont="1" applyFill="1" applyBorder="1"/>
    <xf numFmtId="181" fontId="36" fillId="0" borderId="46" xfId="79" applyNumberFormat="1" applyFont="1" applyFill="1" applyBorder="1"/>
    <xf numFmtId="181" fontId="36" fillId="0" borderId="69" xfId="79" applyNumberFormat="1" applyFont="1" applyFill="1" applyBorder="1"/>
    <xf numFmtId="181" fontId="35" fillId="0" borderId="10" xfId="79" applyNumberFormat="1" applyFont="1" applyFill="1" applyBorder="1" applyAlignment="1">
      <alignment horizontal="center"/>
    </xf>
    <xf numFmtId="181" fontId="35" fillId="0" borderId="11" xfId="79" applyNumberFormat="1" applyFont="1" applyFill="1" applyBorder="1" applyAlignment="1">
      <alignment horizontal="center"/>
    </xf>
    <xf numFmtId="181" fontId="35" fillId="0" borderId="11" xfId="79" applyNumberFormat="1" applyFont="1" applyFill="1" applyBorder="1"/>
    <xf numFmtId="181" fontId="35" fillId="0" borderId="27" xfId="79" applyNumberFormat="1" applyFont="1" applyFill="1" applyBorder="1" applyAlignment="1">
      <alignment horizontal="center"/>
    </xf>
    <xf numFmtId="0" fontId="36" fillId="0" borderId="52" xfId="79" applyFont="1" applyFill="1" applyBorder="1" applyAlignment="1">
      <alignment horizontal="center"/>
    </xf>
    <xf numFmtId="0" fontId="36" fillId="0" borderId="56" xfId="79" applyFont="1" applyFill="1" applyBorder="1"/>
    <xf numFmtId="0" fontId="36" fillId="0" borderId="13" xfId="79" applyFont="1" applyFill="1" applyBorder="1" applyAlignment="1">
      <alignment horizontal="center"/>
    </xf>
    <xf numFmtId="0" fontId="36" fillId="0" borderId="20" xfId="79" applyFont="1" applyFill="1" applyBorder="1"/>
    <xf numFmtId="0" fontId="36" fillId="0" borderId="59" xfId="79" applyFont="1" applyFill="1" applyBorder="1" applyAlignment="1">
      <alignment horizontal="center"/>
    </xf>
    <xf numFmtId="0" fontId="36" fillId="0" borderId="57" xfId="79" applyFont="1" applyFill="1" applyBorder="1"/>
    <xf numFmtId="0" fontId="36" fillId="0" borderId="82" xfId="79" applyFont="1" applyFill="1" applyBorder="1"/>
    <xf numFmtId="0" fontId="36" fillId="0" borderId="77" xfId="79" applyFont="1" applyFill="1" applyBorder="1"/>
    <xf numFmtId="181" fontId="36" fillId="0" borderId="60" xfId="79" applyNumberFormat="1" applyFont="1" applyFill="1" applyBorder="1"/>
    <xf numFmtId="0" fontId="36" fillId="0" borderId="78" xfId="79" applyFont="1" applyFill="1" applyBorder="1"/>
    <xf numFmtId="181" fontId="35" fillId="0" borderId="23" xfId="0" applyNumberFormat="1" applyFont="1" applyFill="1" applyBorder="1" applyAlignment="1">
      <alignment horizontal="center" vertical="center" wrapText="1"/>
    </xf>
    <xf numFmtId="0" fontId="45" fillId="0" borderId="67" xfId="0" applyFont="1" applyFill="1" applyBorder="1" applyAlignment="1">
      <alignment horizontal="center" vertical="center"/>
    </xf>
    <xf numFmtId="0" fontId="45" fillId="0" borderId="47" xfId="0" applyFont="1" applyFill="1" applyBorder="1" applyAlignment="1">
      <alignment horizontal="center" vertical="center" wrapText="1"/>
    </xf>
    <xf numFmtId="181" fontId="45" fillId="0" borderId="69" xfId="0" applyNumberFormat="1" applyFont="1" applyFill="1" applyBorder="1" applyAlignment="1">
      <alignment horizontal="center" vertical="center"/>
    </xf>
    <xf numFmtId="0" fontId="35" fillId="0" borderId="68" xfId="0" applyFont="1" applyFill="1" applyBorder="1" applyAlignment="1">
      <alignment horizontal="center"/>
    </xf>
    <xf numFmtId="0" fontId="36" fillId="0" borderId="19" xfId="0" applyFont="1" applyFill="1" applyBorder="1"/>
    <xf numFmtId="181" fontId="36" fillId="0" borderId="30" xfId="0" applyNumberFormat="1" applyFont="1" applyFill="1" applyBorder="1"/>
    <xf numFmtId="0" fontId="36" fillId="0" borderId="77" xfId="0" applyFont="1" applyFill="1" applyBorder="1"/>
    <xf numFmtId="0" fontId="36" fillId="0" borderId="17" xfId="0" applyFont="1" applyFill="1" applyBorder="1"/>
    <xf numFmtId="0" fontId="36" fillId="0" borderId="78" xfId="0" applyFont="1" applyFill="1" applyBorder="1"/>
    <xf numFmtId="0" fontId="45" fillId="0" borderId="67" xfId="0" applyFont="1" applyFill="1" applyBorder="1" applyAlignment="1">
      <alignment horizontal="center"/>
    </xf>
    <xf numFmtId="181" fontId="45" fillId="0" borderId="69" xfId="0" applyNumberFormat="1" applyFont="1" applyFill="1" applyBorder="1" applyAlignment="1">
      <alignment horizontal="center"/>
    </xf>
    <xf numFmtId="0" fontId="36" fillId="0" borderId="15" xfId="0" applyFont="1" applyFill="1" applyBorder="1"/>
    <xf numFmtId="181" fontId="36" fillId="0" borderId="52" xfId="79" applyNumberFormat="1" applyFont="1" applyFill="1" applyBorder="1" applyAlignment="1">
      <alignment horizontal="center"/>
    </xf>
    <xf numFmtId="181" fontId="36" fillId="0" borderId="11" xfId="79" applyNumberFormat="1" applyFont="1" applyFill="1" applyBorder="1" applyAlignment="1">
      <alignment horizontal="center"/>
    </xf>
    <xf numFmtId="0" fontId="36" fillId="0" borderId="16" xfId="79" applyFont="1" applyFill="1" applyBorder="1" applyAlignment="1">
      <alignment horizontal="center"/>
    </xf>
    <xf numFmtId="0" fontId="36" fillId="0" borderId="16" xfId="79" applyFont="1" applyFill="1" applyBorder="1" applyAlignment="1">
      <alignment horizontal="left"/>
    </xf>
    <xf numFmtId="0" fontId="35" fillId="0" borderId="48" xfId="79" applyFont="1" applyFill="1" applyBorder="1" applyAlignment="1">
      <alignment horizontal="center" wrapText="1"/>
    </xf>
    <xf numFmtId="181" fontId="37" fillId="0" borderId="69" xfId="79" applyNumberFormat="1" applyFont="1" applyFill="1" applyBorder="1" applyAlignment="1">
      <alignment horizontal="center"/>
    </xf>
    <xf numFmtId="0" fontId="80" fillId="0" borderId="13" xfId="0" applyFont="1" applyFill="1" applyBorder="1" applyAlignment="1">
      <alignment horizontal="center"/>
    </xf>
    <xf numFmtId="181" fontId="80" fillId="0" borderId="13" xfId="0" applyNumberFormat="1" applyFont="1" applyFill="1" applyBorder="1" applyAlignment="1">
      <alignment horizontal="center"/>
    </xf>
    <xf numFmtId="181" fontId="80" fillId="0" borderId="13" xfId="0" applyNumberFormat="1" applyFont="1" applyFill="1" applyBorder="1"/>
    <xf numFmtId="0" fontId="36" fillId="0" borderId="13" xfId="0" applyFont="1" applyFill="1" applyBorder="1" applyAlignment="1">
      <alignment horizontal="center" vertical="center"/>
    </xf>
    <xf numFmtId="0" fontId="80" fillId="0" borderId="16" xfId="0" applyFont="1" applyFill="1" applyBorder="1" applyAlignment="1">
      <alignment horizontal="center"/>
    </xf>
    <xf numFmtId="0" fontId="80" fillId="0" borderId="16" xfId="0" applyFont="1" applyFill="1" applyBorder="1"/>
    <xf numFmtId="181" fontId="80" fillId="0" borderId="16" xfId="0" applyNumberFormat="1" applyFont="1" applyFill="1" applyBorder="1" applyAlignment="1">
      <alignment horizontal="center"/>
    </xf>
    <xf numFmtId="181" fontId="80" fillId="0" borderId="16" xfId="0" applyNumberFormat="1" applyFont="1" applyFill="1" applyBorder="1"/>
    <xf numFmtId="0" fontId="92" fillId="53" borderId="13" xfId="122" applyFont="1" applyFill="1" applyBorder="1" applyAlignment="1">
      <alignment horizontal="center" vertical="center"/>
    </xf>
    <xf numFmtId="195" fontId="0" fillId="75" borderId="13" xfId="0" applyNumberFormat="1" applyFill="1" applyBorder="1" applyAlignment="1">
      <alignment horizontal="center"/>
    </xf>
    <xf numFmtId="173" fontId="77" fillId="0" borderId="13" xfId="0" applyNumberFormat="1" applyFont="1" applyFill="1" applyBorder="1" applyAlignment="1">
      <alignment vertical="center"/>
    </xf>
    <xf numFmtId="173" fontId="0" fillId="0" borderId="13" xfId="0" applyNumberFormat="1" applyFill="1" applyBorder="1" applyAlignment="1">
      <alignment vertical="center"/>
    </xf>
    <xf numFmtId="173" fontId="77" fillId="27" borderId="13" xfId="0" applyNumberFormat="1" applyFont="1" applyFill="1" applyBorder="1"/>
    <xf numFmtId="173" fontId="0" fillId="0" borderId="13" xfId="0" applyNumberFormat="1" applyFill="1" applyBorder="1"/>
    <xf numFmtId="173" fontId="77" fillId="0" borderId="13" xfId="0" applyNumberFormat="1" applyFont="1" applyFill="1" applyBorder="1"/>
    <xf numFmtId="173" fontId="77" fillId="29" borderId="13" xfId="0" applyNumberFormat="1" applyFont="1" applyFill="1" applyBorder="1"/>
    <xf numFmtId="173" fontId="0" fillId="29" borderId="13" xfId="0" applyNumberFormat="1" applyFill="1" applyBorder="1"/>
    <xf numFmtId="173" fontId="77" fillId="43" borderId="13" xfId="0" applyNumberFormat="1" applyFont="1" applyFill="1" applyBorder="1"/>
    <xf numFmtId="173" fontId="77" fillId="0" borderId="13" xfId="0" applyNumberFormat="1" applyFont="1" applyFill="1" applyBorder="1" applyAlignment="1">
      <alignment horizontal="right" vertical="center"/>
    </xf>
    <xf numFmtId="165" fontId="0" fillId="0" borderId="13" xfId="0" applyNumberFormat="1" applyFill="1" applyBorder="1"/>
    <xf numFmtId="173" fontId="78" fillId="0" borderId="13" xfId="0" applyNumberFormat="1" applyFont="1" applyFill="1" applyBorder="1"/>
    <xf numFmtId="172" fontId="0" fillId="0" borderId="13" xfId="33" applyFont="1" applyFill="1" applyBorder="1"/>
    <xf numFmtId="172" fontId="0" fillId="0" borderId="13" xfId="0" applyNumberFormat="1" applyFill="1" applyBorder="1"/>
    <xf numFmtId="192" fontId="0" fillId="0" borderId="13" xfId="43" applyNumberFormat="1" applyFont="1" applyFill="1" applyBorder="1"/>
    <xf numFmtId="171" fontId="0" fillId="0" borderId="13" xfId="43" applyFont="1" applyFill="1" applyBorder="1" applyAlignment="1">
      <alignment horizontal="center"/>
    </xf>
    <xf numFmtId="171" fontId="10" fillId="0" borderId="13" xfId="43" applyFont="1" applyFill="1" applyBorder="1"/>
    <xf numFmtId="0" fontId="30" fillId="0" borderId="0" xfId="0" applyFont="1" applyFill="1" applyBorder="1" applyAlignment="1">
      <alignment horizontal="center" vertical="center"/>
    </xf>
    <xf numFmtId="0" fontId="78" fillId="0" borderId="49" xfId="0" applyFont="1" applyFill="1" applyBorder="1" applyAlignment="1">
      <alignment horizontal="center" vertical="center" wrapText="1"/>
    </xf>
    <xf numFmtId="0" fontId="78" fillId="25" borderId="49" xfId="0" applyFont="1" applyFill="1" applyBorder="1" applyAlignment="1">
      <alignment horizontal="center" vertical="center" wrapText="1"/>
    </xf>
    <xf numFmtId="0" fontId="77" fillId="0" borderId="49" xfId="0" applyFont="1" applyFill="1" applyBorder="1" applyAlignment="1">
      <alignment horizontal="center" vertical="center"/>
    </xf>
    <xf numFmtId="199" fontId="0" fillId="75" borderId="50" xfId="0" applyNumberFormat="1" applyFill="1" applyBorder="1" applyAlignment="1">
      <alignment horizontal="left"/>
    </xf>
    <xf numFmtId="0" fontId="78" fillId="27" borderId="49" xfId="0" applyFont="1" applyFill="1" applyBorder="1" applyAlignment="1">
      <alignment horizontal="center" vertical="center" wrapText="1"/>
    </xf>
    <xf numFmtId="199" fontId="0" fillId="27" borderId="50" xfId="0" applyNumberFormat="1" applyFill="1" applyBorder="1" applyAlignment="1">
      <alignment horizontal="left"/>
    </xf>
    <xf numFmtId="0" fontId="77" fillId="29" borderId="49" xfId="0" applyFont="1" applyFill="1" applyBorder="1" applyAlignment="1">
      <alignment horizontal="center" vertical="center"/>
    </xf>
    <xf numFmtId="195" fontId="0" fillId="75" borderId="50" xfId="0" applyNumberFormat="1" applyFill="1" applyBorder="1" applyAlignment="1">
      <alignment horizontal="center"/>
    </xf>
    <xf numFmtId="0" fontId="36" fillId="29" borderId="49" xfId="79" applyFont="1" applyFill="1" applyBorder="1" applyAlignment="1">
      <alignment horizontal="center" vertical="center"/>
    </xf>
    <xf numFmtId="0" fontId="0" fillId="75" borderId="50" xfId="0" applyFill="1" applyBorder="1" applyAlignment="1">
      <alignment horizontal="center"/>
    </xf>
    <xf numFmtId="0" fontId="77" fillId="0" borderId="54" xfId="0" applyFont="1" applyFill="1" applyBorder="1" applyAlignment="1">
      <alignment horizontal="center" vertical="center"/>
    </xf>
    <xf numFmtId="173" fontId="78" fillId="27" borderId="59" xfId="0" applyNumberFormat="1" applyFont="1" applyFill="1" applyBorder="1"/>
    <xf numFmtId="193" fontId="47" fillId="30" borderId="59" xfId="43" applyNumberFormat="1" applyFont="1" applyFill="1" applyBorder="1"/>
    <xf numFmtId="0" fontId="0" fillId="0" borderId="59" xfId="0" applyFill="1" applyBorder="1"/>
    <xf numFmtId="169" fontId="0" fillId="75" borderId="50" xfId="0" applyNumberFormat="1" applyFill="1" applyBorder="1" applyAlignment="1">
      <alignment horizontal="left"/>
    </xf>
    <xf numFmtId="199" fontId="0" fillId="75" borderId="50" xfId="0" applyNumberFormat="1" applyFill="1" applyBorder="1" applyAlignment="1">
      <alignment horizontal="center"/>
    </xf>
    <xf numFmtId="169" fontId="0" fillId="75" borderId="50" xfId="0" applyNumberFormat="1" applyFill="1" applyBorder="1" applyAlignment="1">
      <alignment horizontal="center"/>
    </xf>
    <xf numFmtId="181" fontId="78" fillId="27" borderId="13" xfId="0" applyNumberFormat="1" applyFont="1" applyFill="1" applyBorder="1" applyAlignment="1">
      <alignment horizontal="center" vertical="center" textRotation="90" wrapText="1"/>
    </xf>
    <xf numFmtId="195" fontId="0" fillId="28" borderId="13" xfId="0" applyNumberFormat="1" applyFill="1" applyBorder="1" applyAlignment="1">
      <alignment horizontal="center"/>
    </xf>
    <xf numFmtId="2" fontId="77" fillId="29" borderId="13" xfId="0" applyNumberFormat="1" applyFont="1" applyFill="1" applyBorder="1" applyAlignment="1">
      <alignment vertical="center"/>
    </xf>
    <xf numFmtId="173" fontId="77" fillId="29" borderId="13" xfId="0" applyNumberFormat="1" applyFont="1" applyFill="1" applyBorder="1" applyAlignment="1">
      <alignment vertical="center"/>
    </xf>
    <xf numFmtId="195" fontId="0" fillId="28" borderId="13" xfId="0" applyNumberFormat="1" applyFill="1" applyBorder="1" applyAlignment="1">
      <alignment horizontal="left"/>
    </xf>
    <xf numFmtId="195" fontId="0" fillId="75" borderId="13" xfId="0" applyNumberFormat="1" applyFill="1" applyBorder="1" applyAlignment="1">
      <alignment horizontal="left"/>
    </xf>
    <xf numFmtId="195" fontId="0" fillId="27" borderId="13" xfId="0" applyNumberFormat="1" applyFill="1" applyBorder="1" applyAlignment="1">
      <alignment horizontal="left"/>
    </xf>
    <xf numFmtId="195" fontId="0" fillId="75" borderId="13" xfId="0" applyNumberFormat="1" applyFill="1" applyBorder="1" applyAlignment="1">
      <alignment horizontal="center" vertical="center"/>
    </xf>
    <xf numFmtId="195" fontId="0" fillId="28" borderId="13" xfId="0" applyNumberFormat="1" applyFill="1" applyBorder="1" applyAlignment="1">
      <alignment horizontal="center" vertical="center"/>
    </xf>
    <xf numFmtId="195" fontId="77" fillId="43" borderId="13" xfId="0" applyNumberFormat="1" applyFont="1" applyFill="1" applyBorder="1"/>
    <xf numFmtId="0" fontId="78" fillId="0" borderId="0" xfId="0" applyFont="1" applyFill="1" applyBorder="1" applyAlignment="1">
      <alignment horizontal="center" vertical="center"/>
    </xf>
    <xf numFmtId="181" fontId="78" fillId="0" borderId="0" xfId="0" applyNumberFormat="1" applyFont="1" applyFill="1" applyBorder="1" applyAlignment="1">
      <alignment horizontal="center" vertical="center" textRotation="90" wrapText="1"/>
    </xf>
    <xf numFmtId="199" fontId="0" fillId="0" borderId="0" xfId="0" applyNumberFormat="1" applyFill="1" applyBorder="1" applyAlignment="1">
      <alignment horizontal="left"/>
    </xf>
    <xf numFmtId="169" fontId="0" fillId="0" borderId="0" xfId="0" applyNumberFormat="1" applyFill="1" applyBorder="1" applyAlignment="1">
      <alignment horizontal="left"/>
    </xf>
    <xf numFmtId="169" fontId="0" fillId="0" borderId="0" xfId="0" applyNumberFormat="1" applyFill="1" applyBorder="1" applyAlignment="1">
      <alignment horizontal="center" vertical="center"/>
    </xf>
    <xf numFmtId="195" fontId="0" fillId="0" borderId="0" xfId="0" applyNumberFormat="1" applyFill="1" applyBorder="1" applyAlignment="1">
      <alignment horizontal="center"/>
    </xf>
    <xf numFmtId="173" fontId="77" fillId="0" borderId="0" xfId="0" applyNumberFormat="1" applyFont="1" applyFill="1" applyBorder="1"/>
    <xf numFmtId="169" fontId="0" fillId="0" borderId="0" xfId="0" applyNumberFormat="1" applyFill="1" applyBorder="1" applyAlignment="1">
      <alignment horizontal="center"/>
    </xf>
    <xf numFmtId="200" fontId="0" fillId="0" borderId="0" xfId="0" applyNumberFormat="1" applyFill="1" applyBorder="1" applyAlignment="1">
      <alignment horizontal="center"/>
    </xf>
    <xf numFmtId="173" fontId="0" fillId="0" borderId="0" xfId="0" applyNumberFormat="1" applyFill="1" applyBorder="1" applyAlignment="1">
      <alignment horizontal="center"/>
    </xf>
    <xf numFmtId="192" fontId="0" fillId="0" borderId="0" xfId="0" applyNumberFormat="1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200" fontId="0" fillId="0" borderId="50" xfId="0" applyNumberFormat="1" applyFill="1" applyBorder="1" applyAlignment="1">
      <alignment horizontal="center"/>
    </xf>
    <xf numFmtId="0" fontId="10" fillId="0" borderId="55" xfId="0" applyFont="1" applyFill="1" applyBorder="1" applyAlignment="1">
      <alignment horizontal="center"/>
    </xf>
    <xf numFmtId="181" fontId="78" fillId="27" borderId="49" xfId="0" applyNumberFormat="1" applyFont="1" applyFill="1" applyBorder="1" applyAlignment="1">
      <alignment horizontal="center" vertical="center" textRotation="90" wrapText="1"/>
    </xf>
    <xf numFmtId="181" fontId="78" fillId="27" borderId="50" xfId="0" applyNumberFormat="1" applyFont="1" applyFill="1" applyBorder="1" applyAlignment="1">
      <alignment horizontal="center" vertical="center" textRotation="90" wrapText="1"/>
    </xf>
    <xf numFmtId="195" fontId="0" fillId="28" borderId="49" xfId="0" applyNumberFormat="1" applyFill="1" applyBorder="1" applyAlignment="1">
      <alignment horizontal="left"/>
    </xf>
    <xf numFmtId="195" fontId="0" fillId="27" borderId="49" xfId="0" applyNumberFormat="1" applyFill="1" applyBorder="1" applyAlignment="1">
      <alignment horizontal="left"/>
    </xf>
    <xf numFmtId="195" fontId="0" fillId="75" borderId="49" xfId="0" applyNumberFormat="1" applyFill="1" applyBorder="1" applyAlignment="1">
      <alignment horizontal="left"/>
    </xf>
    <xf numFmtId="195" fontId="0" fillId="75" borderId="49" xfId="0" applyNumberFormat="1" applyFill="1" applyBorder="1" applyAlignment="1">
      <alignment horizontal="center" vertical="center"/>
    </xf>
    <xf numFmtId="169" fontId="0" fillId="28" borderId="50" xfId="0" applyNumberFormat="1" applyFill="1" applyBorder="1" applyAlignment="1">
      <alignment horizontal="center" vertical="center"/>
    </xf>
    <xf numFmtId="169" fontId="0" fillId="75" borderId="50" xfId="0" applyNumberFormat="1" applyFill="1" applyBorder="1" applyAlignment="1">
      <alignment horizontal="center" vertical="center"/>
    </xf>
    <xf numFmtId="195" fontId="0" fillId="75" borderId="49" xfId="0" applyNumberFormat="1" applyFill="1" applyBorder="1" applyAlignment="1">
      <alignment horizontal="center"/>
    </xf>
    <xf numFmtId="195" fontId="77" fillId="43" borderId="49" xfId="0" applyNumberFormat="1" applyFont="1" applyFill="1" applyBorder="1"/>
    <xf numFmtId="199" fontId="0" fillId="28" borderId="50" xfId="0" applyNumberFormat="1" applyFill="1" applyBorder="1" applyAlignment="1">
      <alignment horizontal="left"/>
    </xf>
    <xf numFmtId="169" fontId="0" fillId="28" borderId="50" xfId="0" applyNumberFormat="1" applyFill="1" applyBorder="1" applyAlignment="1">
      <alignment horizontal="center"/>
    </xf>
    <xf numFmtId="195" fontId="0" fillId="28" borderId="49" xfId="0" applyNumberFormat="1" applyFill="1" applyBorder="1" applyAlignment="1">
      <alignment horizontal="center"/>
    </xf>
    <xf numFmtId="199" fontId="30" fillId="0" borderId="51" xfId="0" applyNumberFormat="1" applyFont="1" applyFill="1" applyBorder="1" applyAlignment="1">
      <alignment horizontal="center"/>
    </xf>
    <xf numFmtId="0" fontId="0" fillId="0" borderId="53" xfId="0" applyFill="1" applyBorder="1" applyAlignment="1">
      <alignment horizontal="center" vertical="center"/>
    </xf>
    <xf numFmtId="10" fontId="77" fillId="0" borderId="49" xfId="62" applyNumberFormat="1" applyFont="1" applyFill="1" applyBorder="1" applyAlignment="1">
      <alignment horizontal="center"/>
    </xf>
    <xf numFmtId="10" fontId="77" fillId="0" borderId="13" xfId="62" applyNumberFormat="1" applyFont="1" applyFill="1" applyBorder="1" applyAlignment="1">
      <alignment horizontal="center"/>
    </xf>
    <xf numFmtId="10" fontId="77" fillId="0" borderId="50" xfId="62" applyNumberFormat="1" applyFont="1" applyFill="1" applyBorder="1" applyAlignment="1">
      <alignment horizontal="center"/>
    </xf>
    <xf numFmtId="9" fontId="77" fillId="0" borderId="49" xfId="62" applyFont="1" applyFill="1" applyBorder="1" applyAlignment="1">
      <alignment horizontal="center"/>
    </xf>
    <xf numFmtId="0" fontId="77" fillId="0" borderId="50" xfId="0" applyFont="1" applyFill="1" applyBorder="1" applyAlignment="1">
      <alignment horizontal="center" vertical="center"/>
    </xf>
    <xf numFmtId="192" fontId="77" fillId="0" borderId="49" xfId="43" applyNumberFormat="1" applyFont="1" applyFill="1" applyBorder="1" applyAlignment="1">
      <alignment horizontal="center"/>
    </xf>
    <xf numFmtId="192" fontId="77" fillId="0" borderId="50" xfId="43" applyNumberFormat="1" applyFont="1" applyFill="1" applyBorder="1" applyAlignment="1">
      <alignment horizontal="center"/>
    </xf>
    <xf numFmtId="0" fontId="78" fillId="0" borderId="50" xfId="0" applyFont="1" applyFill="1" applyBorder="1" applyAlignment="1">
      <alignment horizontal="center" vertical="center"/>
    </xf>
    <xf numFmtId="0" fontId="77" fillId="0" borderId="49" xfId="0" applyFont="1" applyFill="1" applyBorder="1" applyAlignment="1">
      <alignment horizontal="center"/>
    </xf>
    <xf numFmtId="173" fontId="77" fillId="0" borderId="50" xfId="0" applyNumberFormat="1" applyFont="1" applyFill="1" applyBorder="1" applyAlignment="1">
      <alignment horizontal="center"/>
    </xf>
    <xf numFmtId="192" fontId="77" fillId="0" borderId="54" xfId="43" applyNumberFormat="1" applyFont="1" applyFill="1" applyBorder="1" applyAlignment="1">
      <alignment horizontal="center"/>
    </xf>
    <xf numFmtId="192" fontId="77" fillId="0" borderId="59" xfId="43" applyNumberFormat="1" applyFont="1" applyFill="1" applyBorder="1" applyAlignment="1">
      <alignment horizontal="center"/>
    </xf>
    <xf numFmtId="192" fontId="77" fillId="0" borderId="55" xfId="43" applyNumberFormat="1" applyFont="1" applyFill="1" applyBorder="1" applyAlignment="1">
      <alignment horizontal="center"/>
    </xf>
    <xf numFmtId="0" fontId="78" fillId="0" borderId="55" xfId="0" applyFont="1" applyFill="1" applyBorder="1" applyAlignment="1">
      <alignment horizontal="center" vertical="center"/>
    </xf>
    <xf numFmtId="0" fontId="30" fillId="0" borderId="0" xfId="0" applyFont="1" applyFill="1"/>
    <xf numFmtId="0" fontId="29" fillId="0" borderId="13" xfId="0" applyFont="1" applyBorder="1" applyAlignment="1">
      <alignment horizontal="center"/>
    </xf>
    <xf numFmtId="0" fontId="30" fillId="0" borderId="13" xfId="0" applyFont="1" applyFill="1" applyBorder="1" applyAlignment="1">
      <alignment horizontal="center"/>
    </xf>
    <xf numFmtId="0" fontId="21" fillId="0" borderId="13" xfId="0" applyFont="1" applyFill="1" applyBorder="1" applyAlignment="1">
      <alignment horizontal="center"/>
    </xf>
    <xf numFmtId="0" fontId="21" fillId="0" borderId="13" xfId="0" applyFont="1" applyFill="1" applyBorder="1" applyAlignment="1">
      <alignment horizontal="left"/>
    </xf>
    <xf numFmtId="0" fontId="30" fillId="0" borderId="13" xfId="0" applyFont="1" applyFill="1" applyBorder="1" applyAlignment="1"/>
    <xf numFmtId="177" fontId="21" fillId="0" borderId="13" xfId="0" applyNumberFormat="1" applyFont="1" applyFill="1" applyBorder="1" applyProtection="1">
      <protection locked="0"/>
    </xf>
    <xf numFmtId="0" fontId="0" fillId="0" borderId="13" xfId="0" applyFont="1" applyFill="1" applyBorder="1"/>
    <xf numFmtId="0" fontId="0" fillId="0" borderId="13" xfId="0" applyFill="1" applyBorder="1" applyAlignment="1" applyProtection="1">
      <alignment horizontal="center"/>
    </xf>
    <xf numFmtId="0" fontId="0" fillId="0" borderId="13" xfId="0" applyFill="1" applyBorder="1" applyProtection="1"/>
    <xf numFmtId="0" fontId="0" fillId="0" borderId="13" xfId="0" applyFill="1" applyBorder="1" applyAlignment="1" applyProtection="1">
      <alignment horizontal="center"/>
      <protection locked="0"/>
    </xf>
    <xf numFmtId="0" fontId="21" fillId="0" borderId="13" xfId="0" applyFont="1" applyFill="1" applyBorder="1" applyProtection="1"/>
    <xf numFmtId="0" fontId="21" fillId="0" borderId="13" xfId="0" applyFont="1" applyFill="1" applyBorder="1" applyAlignment="1" applyProtection="1">
      <alignment horizontal="center"/>
      <protection locked="0"/>
    </xf>
    <xf numFmtId="0" fontId="30" fillId="0" borderId="13" xfId="0" applyFont="1" applyFill="1" applyBorder="1" applyAlignment="1" applyProtection="1">
      <alignment horizontal="center"/>
      <protection locked="0"/>
    </xf>
    <xf numFmtId="0" fontId="30" fillId="0" borderId="13" xfId="0" applyFont="1" applyFill="1" applyBorder="1" applyAlignment="1" applyProtection="1">
      <protection locked="0"/>
    </xf>
    <xf numFmtId="177" fontId="10" fillId="31" borderId="13" xfId="79" applyNumberFormat="1" applyFill="1" applyBorder="1" applyProtection="1">
      <protection locked="0"/>
    </xf>
    <xf numFmtId="177" fontId="10" fillId="31" borderId="13" xfId="0" applyNumberFormat="1" applyFont="1" applyFill="1" applyBorder="1" applyProtection="1">
      <protection locked="0"/>
    </xf>
    <xf numFmtId="177" fontId="21" fillId="31" borderId="13" xfId="0" applyNumberFormat="1" applyFont="1" applyFill="1" applyBorder="1" applyProtection="1">
      <protection locked="0"/>
    </xf>
    <xf numFmtId="177" fontId="0" fillId="0" borderId="0" xfId="0" applyNumberFormat="1" applyFill="1" applyBorder="1" applyProtection="1">
      <protection locked="0"/>
    </xf>
    <xf numFmtId="0" fontId="51" fillId="0" borderId="0" xfId="55" applyFont="1" applyFill="1" applyBorder="1" applyAlignment="1"/>
    <xf numFmtId="0" fontId="10" fillId="0" borderId="0" xfId="0" applyFont="1" applyFill="1" applyAlignment="1"/>
    <xf numFmtId="0" fontId="8" fillId="0" borderId="0" xfId="75" applyFont="1" applyFill="1" applyBorder="1" applyAlignment="1"/>
    <xf numFmtId="0" fontId="51" fillId="0" borderId="0" xfId="55" applyFont="1" applyFill="1" applyAlignment="1">
      <alignment vertical="center"/>
    </xf>
    <xf numFmtId="0" fontId="51" fillId="0" borderId="0" xfId="55" applyFont="1" applyFill="1" applyAlignment="1"/>
    <xf numFmtId="0" fontId="51" fillId="0" borderId="0" xfId="55" applyFont="1" applyFill="1"/>
    <xf numFmtId="169" fontId="0" fillId="75" borderId="50" xfId="0" applyNumberFormat="1" applyFill="1" applyBorder="1" applyAlignment="1">
      <alignment horizontal="center" vertical="center"/>
    </xf>
    <xf numFmtId="0" fontId="35" fillId="0" borderId="48" xfId="0" applyFont="1" applyFill="1" applyBorder="1" applyAlignment="1">
      <alignment horizontal="center"/>
    </xf>
    <xf numFmtId="172" fontId="36" fillId="0" borderId="0" xfId="33" applyFont="1" applyFill="1"/>
    <xf numFmtId="185" fontId="83" fillId="28" borderId="13" xfId="122" applyNumberFormat="1" applyFont="1" applyFill="1" applyBorder="1" applyAlignment="1">
      <alignment horizontal="center"/>
    </xf>
    <xf numFmtId="2" fontId="83" fillId="28" borderId="13" xfId="122" applyNumberFormat="1" applyFont="1" applyFill="1" applyBorder="1"/>
    <xf numFmtId="0" fontId="70" fillId="39" borderId="13" xfId="59" applyFont="1" applyFill="1" applyBorder="1" applyAlignment="1">
      <alignment horizontal="center"/>
    </xf>
    <xf numFmtId="0" fontId="70" fillId="39" borderId="16" xfId="59" applyFont="1" applyFill="1" applyBorder="1" applyAlignment="1">
      <alignment vertical="center"/>
    </xf>
    <xf numFmtId="49" fontId="78" fillId="39" borderId="13" xfId="0" applyNumberFormat="1" applyFont="1" applyFill="1" applyBorder="1" applyAlignment="1">
      <alignment horizontal="center" vertical="center"/>
    </xf>
    <xf numFmtId="1" fontId="87" fillId="39" borderId="13" xfId="56" applyNumberFormat="1" applyFont="1" applyFill="1" applyBorder="1" applyAlignment="1">
      <alignment horizontal="center" vertical="center"/>
    </xf>
    <xf numFmtId="185" fontId="87" fillId="39" borderId="13" xfId="56" applyNumberFormat="1" applyFont="1" applyFill="1" applyBorder="1" applyAlignment="1">
      <alignment horizontal="center" vertical="center"/>
    </xf>
    <xf numFmtId="2" fontId="77" fillId="39" borderId="13" xfId="76" applyNumberFormat="1" applyFont="1" applyFill="1" applyBorder="1" applyAlignment="1">
      <alignment horizontal="center"/>
    </xf>
    <xf numFmtId="0" fontId="83" fillId="39" borderId="13" xfId="122" applyFont="1" applyFill="1" applyBorder="1" applyAlignment="1">
      <alignment horizontal="center"/>
    </xf>
    <xf numFmtId="0" fontId="83" fillId="39" borderId="13" xfId="122" applyFont="1" applyFill="1" applyBorder="1" applyAlignment="1">
      <alignment horizontal="center" vertical="center"/>
    </xf>
    <xf numFmtId="2" fontId="83" fillId="39" borderId="13" xfId="122" applyNumberFormat="1" applyFont="1" applyFill="1" applyBorder="1" applyAlignment="1"/>
    <xf numFmtId="2" fontId="83" fillId="39" borderId="13" xfId="122" applyNumberFormat="1" applyFont="1" applyFill="1" applyBorder="1" applyAlignment="1">
      <alignment horizontal="center"/>
    </xf>
    <xf numFmtId="0" fontId="83" fillId="39" borderId="13" xfId="122" applyFont="1" applyFill="1" applyBorder="1"/>
    <xf numFmtId="185" fontId="83" fillId="39" borderId="13" xfId="122" applyNumberFormat="1" applyFont="1" applyFill="1" applyBorder="1" applyAlignment="1">
      <alignment horizontal="center"/>
    </xf>
    <xf numFmtId="185" fontId="83" fillId="39" borderId="13" xfId="122" applyNumberFormat="1" applyFont="1" applyFill="1" applyBorder="1" applyAlignment="1">
      <alignment horizontal="right"/>
    </xf>
    <xf numFmtId="2" fontId="83" fillId="39" borderId="13" xfId="122" applyNumberFormat="1" applyFont="1" applyFill="1" applyBorder="1"/>
    <xf numFmtId="1" fontId="83" fillId="39" borderId="13" xfId="122" applyNumberFormat="1" applyFont="1" applyFill="1" applyBorder="1" applyAlignment="1">
      <alignment horizontal="center" vertical="center"/>
    </xf>
    <xf numFmtId="2" fontId="83" fillId="39" borderId="13" xfId="122" applyNumberFormat="1" applyFont="1" applyFill="1" applyBorder="1" applyAlignment="1">
      <alignment horizontal="right" vertical="center"/>
    </xf>
    <xf numFmtId="1" fontId="83" fillId="39" borderId="13" xfId="122" applyNumberFormat="1" applyFont="1" applyFill="1" applyBorder="1" applyAlignment="1">
      <alignment horizontal="right" vertical="center" indent="3"/>
    </xf>
    <xf numFmtId="0" fontId="10" fillId="39" borderId="0" xfId="122" applyFill="1"/>
    <xf numFmtId="185" fontId="83" fillId="39" borderId="13" xfId="122" applyNumberFormat="1" applyFont="1" applyFill="1" applyBorder="1" applyAlignment="1"/>
    <xf numFmtId="185" fontId="83" fillId="39" borderId="13" xfId="122" applyNumberFormat="1" applyFont="1" applyFill="1" applyBorder="1"/>
    <xf numFmtId="0" fontId="70" fillId="39" borderId="18" xfId="59" applyFont="1" applyFill="1" applyBorder="1" applyAlignment="1">
      <alignment vertical="center"/>
    </xf>
    <xf numFmtId="0" fontId="10" fillId="39" borderId="0" xfId="122" applyFont="1" applyFill="1"/>
    <xf numFmtId="0" fontId="70" fillId="39" borderId="16" xfId="59" applyFont="1" applyFill="1" applyBorder="1" applyAlignment="1">
      <alignment horizontal="center" vertical="center"/>
    </xf>
    <xf numFmtId="0" fontId="70" fillId="39" borderId="13" xfId="59" applyFont="1" applyFill="1" applyBorder="1" applyAlignment="1">
      <alignment horizontal="center" vertical="center"/>
    </xf>
    <xf numFmtId="2" fontId="83" fillId="30" borderId="13" xfId="122" applyNumberFormat="1" applyFont="1" applyFill="1" applyBorder="1" applyAlignment="1">
      <alignment horizontal="center"/>
    </xf>
    <xf numFmtId="0" fontId="78" fillId="0" borderId="49" xfId="0" applyFont="1" applyFill="1" applyBorder="1" applyAlignment="1" applyProtection="1">
      <alignment horizontal="center" vertical="center" wrapText="1"/>
    </xf>
    <xf numFmtId="0" fontId="78" fillId="0" borderId="13" xfId="0" applyFont="1" applyFill="1" applyBorder="1" applyAlignment="1" applyProtection="1">
      <alignment horizontal="center" vertical="center" wrapText="1"/>
    </xf>
    <xf numFmtId="2" fontId="78" fillId="0" borderId="13" xfId="0" applyNumberFormat="1" applyFont="1" applyFill="1" applyBorder="1" applyAlignment="1" applyProtection="1">
      <alignment horizontal="right" vertical="center" wrapText="1" indent="1"/>
    </xf>
    <xf numFmtId="181" fontId="78" fillId="0" borderId="13" xfId="0" applyNumberFormat="1" applyFont="1" applyFill="1" applyBorder="1" applyAlignment="1" applyProtection="1">
      <alignment horizontal="center" vertical="center" wrapText="1"/>
    </xf>
    <xf numFmtId="0" fontId="78" fillId="25" borderId="49" xfId="0" applyFont="1" applyFill="1" applyBorder="1" applyAlignment="1" applyProtection="1">
      <alignment horizontal="center" vertical="center" wrapText="1"/>
    </xf>
    <xf numFmtId="0" fontId="78" fillId="25" borderId="13" xfId="0" applyFont="1" applyFill="1" applyBorder="1" applyAlignment="1" applyProtection="1">
      <alignment horizontal="center" vertical="center" wrapText="1"/>
    </xf>
    <xf numFmtId="2" fontId="77" fillId="25" borderId="13" xfId="0" applyNumberFormat="1" applyFont="1" applyFill="1" applyBorder="1" applyAlignment="1" applyProtection="1">
      <alignment horizontal="right" vertical="center" wrapText="1" indent="1"/>
    </xf>
    <xf numFmtId="0" fontId="77" fillId="0" borderId="49" xfId="0" applyFont="1" applyFill="1" applyBorder="1" applyAlignment="1" applyProtection="1">
      <alignment horizontal="center" vertical="center"/>
    </xf>
    <xf numFmtId="0" fontId="77" fillId="0" borderId="13" xfId="0" applyFont="1" applyFill="1" applyBorder="1" applyAlignment="1" applyProtection="1">
      <alignment horizontal="left" vertical="center" wrapText="1"/>
    </xf>
    <xf numFmtId="0" fontId="77" fillId="0" borderId="13" xfId="0" applyFont="1" applyFill="1" applyBorder="1" applyAlignment="1" applyProtection="1">
      <alignment horizontal="center" vertical="center"/>
    </xf>
    <xf numFmtId="2" fontId="77" fillId="0" borderId="13" xfId="0" applyNumberFormat="1" applyFont="1" applyFill="1" applyBorder="1" applyAlignment="1" applyProtection="1">
      <alignment horizontal="right" vertical="center" indent="1"/>
    </xf>
    <xf numFmtId="0" fontId="78" fillId="27" borderId="49" xfId="0" applyFont="1" applyFill="1" applyBorder="1" applyAlignment="1" applyProtection="1">
      <alignment horizontal="center" vertical="center" wrapText="1"/>
    </xf>
    <xf numFmtId="0" fontId="78" fillId="27" borderId="13" xfId="0" applyFont="1" applyFill="1" applyBorder="1" applyAlignment="1" applyProtection="1">
      <alignment horizontal="center" vertical="center" wrapText="1"/>
    </xf>
    <xf numFmtId="2" fontId="77" fillId="27" borderId="13" xfId="0" applyNumberFormat="1" applyFont="1" applyFill="1" applyBorder="1" applyAlignment="1" applyProtection="1">
      <alignment horizontal="right" vertical="center" wrapText="1" indent="1"/>
    </xf>
    <xf numFmtId="2" fontId="77" fillId="0" borderId="13" xfId="0" applyNumberFormat="1" applyFont="1" applyFill="1" applyBorder="1" applyAlignment="1" applyProtection="1">
      <alignment horizontal="right" indent="1"/>
    </xf>
    <xf numFmtId="0" fontId="77" fillId="29" borderId="49" xfId="0" applyFont="1" applyFill="1" applyBorder="1" applyAlignment="1" applyProtection="1">
      <alignment horizontal="center" vertical="center"/>
    </xf>
    <xf numFmtId="0" fontId="77" fillId="29" borderId="13" xfId="0" applyFont="1" applyFill="1" applyBorder="1" applyAlignment="1" applyProtection="1">
      <alignment horizontal="left" vertical="center" wrapText="1"/>
    </xf>
    <xf numFmtId="0" fontId="77" fillId="29" borderId="13" xfId="0" applyFont="1" applyFill="1" applyBorder="1" applyAlignment="1" applyProtection="1">
      <alignment horizontal="center" vertical="center"/>
    </xf>
    <xf numFmtId="2" fontId="77" fillId="29" borderId="13" xfId="0" applyNumberFormat="1" applyFont="1" applyFill="1" applyBorder="1" applyAlignment="1" applyProtection="1">
      <alignment horizontal="right" indent="1"/>
    </xf>
    <xf numFmtId="0" fontId="36" fillId="29" borderId="49" xfId="79" applyFont="1" applyFill="1" applyBorder="1" applyAlignment="1" applyProtection="1">
      <alignment horizontal="center" vertical="center"/>
    </xf>
    <xf numFmtId="0" fontId="78" fillId="27" borderId="13" xfId="0" applyFont="1" applyFill="1" applyBorder="1" applyAlignment="1" applyProtection="1">
      <alignment vertical="center" wrapText="1"/>
    </xf>
    <xf numFmtId="0" fontId="78" fillId="27" borderId="14" xfId="0" applyFont="1" applyFill="1" applyBorder="1" applyAlignment="1" applyProtection="1">
      <alignment vertical="center" wrapText="1"/>
    </xf>
    <xf numFmtId="2" fontId="77" fillId="29" borderId="13" xfId="0" applyNumberFormat="1" applyFont="1" applyFill="1" applyBorder="1" applyAlignment="1" applyProtection="1">
      <alignment horizontal="right" vertical="center" indent="1"/>
    </xf>
    <xf numFmtId="0" fontId="0" fillId="0" borderId="0" xfId="0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78" fillId="0" borderId="13" xfId="0" applyFont="1" applyFill="1" applyBorder="1" applyAlignment="1" applyProtection="1">
      <alignment horizontal="center" vertical="center" wrapText="1"/>
      <protection locked="0"/>
    </xf>
    <xf numFmtId="2" fontId="78" fillId="0" borderId="13" xfId="0" applyNumberFormat="1" applyFont="1" applyFill="1" applyBorder="1" applyAlignment="1" applyProtection="1">
      <alignment horizontal="right" vertical="center" wrapText="1" indent="1"/>
      <protection locked="0"/>
    </xf>
    <xf numFmtId="181" fontId="78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78" fillId="25" borderId="13" xfId="0" applyFont="1" applyFill="1" applyBorder="1" applyAlignment="1" applyProtection="1">
      <alignment horizontal="center" vertical="center" wrapText="1"/>
      <protection locked="0"/>
    </xf>
    <xf numFmtId="0" fontId="77" fillId="25" borderId="13" xfId="0" applyFont="1" applyFill="1" applyBorder="1" applyAlignment="1" applyProtection="1">
      <alignment horizontal="right" vertical="center" wrapText="1"/>
      <protection locked="0"/>
    </xf>
    <xf numFmtId="0" fontId="77" fillId="25" borderId="13" xfId="0" applyFont="1" applyFill="1" applyBorder="1" applyAlignment="1" applyProtection="1">
      <alignment horizontal="center" vertical="center" wrapText="1"/>
      <protection locked="0"/>
    </xf>
    <xf numFmtId="181" fontId="78" fillId="25" borderId="13" xfId="0" applyNumberFormat="1" applyFont="1" applyFill="1" applyBorder="1" applyAlignment="1" applyProtection="1">
      <alignment horizontal="center" vertical="center" wrapText="1"/>
      <protection locked="0"/>
    </xf>
    <xf numFmtId="0" fontId="77" fillId="0" borderId="49" xfId="0" applyFont="1" applyFill="1" applyBorder="1" applyAlignment="1" applyProtection="1">
      <alignment horizontal="center" vertical="center"/>
      <protection locked="0"/>
    </xf>
    <xf numFmtId="0" fontId="77" fillId="0" borderId="13" xfId="0" applyFont="1" applyFill="1" applyBorder="1" applyAlignment="1" applyProtection="1">
      <alignment horizontal="left" vertical="center" wrapText="1"/>
      <protection locked="0"/>
    </xf>
    <xf numFmtId="0" fontId="77" fillId="0" borderId="13" xfId="0" applyFont="1" applyFill="1" applyBorder="1" applyAlignment="1" applyProtection="1">
      <alignment horizontal="center" vertical="center"/>
      <protection locked="0"/>
    </xf>
    <xf numFmtId="181" fontId="77" fillId="0" borderId="13" xfId="0" applyNumberFormat="1" applyFont="1" applyFill="1" applyBorder="1" applyAlignment="1" applyProtection="1">
      <alignment horizontal="right" vertical="center"/>
      <protection locked="0"/>
    </xf>
    <xf numFmtId="181" fontId="77" fillId="0" borderId="13" xfId="0" applyNumberFormat="1" applyFont="1" applyFill="1" applyBorder="1" applyAlignment="1" applyProtection="1">
      <alignment vertical="center"/>
      <protection locked="0"/>
    </xf>
    <xf numFmtId="173" fontId="77" fillId="0" borderId="13" xfId="0" applyNumberFormat="1" applyFont="1" applyFill="1" applyBorder="1" applyAlignment="1" applyProtection="1">
      <alignment vertical="center"/>
      <protection locked="0"/>
    </xf>
    <xf numFmtId="173" fontId="0" fillId="0" borderId="13" xfId="0" applyNumberFormat="1" applyFill="1" applyBorder="1" applyAlignment="1" applyProtection="1">
      <alignment vertical="center"/>
      <protection locked="0"/>
    </xf>
    <xf numFmtId="199" fontId="0" fillId="75" borderId="50" xfId="0" applyNumberFormat="1" applyFill="1" applyBorder="1" applyAlignment="1" applyProtection="1">
      <alignment horizontal="left"/>
      <protection locked="0"/>
    </xf>
    <xf numFmtId="169" fontId="0" fillId="0" borderId="0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173" fontId="0" fillId="0" borderId="0" xfId="0" applyNumberFormat="1" applyFill="1" applyBorder="1" applyAlignment="1" applyProtection="1">
      <alignment vertical="center"/>
      <protection locked="0"/>
    </xf>
    <xf numFmtId="171" fontId="0" fillId="0" borderId="0" xfId="43" applyFont="1" applyFill="1" applyBorder="1" applyAlignment="1" applyProtection="1">
      <alignment vertical="center"/>
      <protection locked="0"/>
    </xf>
    <xf numFmtId="0" fontId="78" fillId="27" borderId="13" xfId="0" applyFont="1" applyFill="1" applyBorder="1" applyAlignment="1" applyProtection="1">
      <alignment horizontal="center" vertical="center" wrapText="1"/>
      <protection locked="0"/>
    </xf>
    <xf numFmtId="0" fontId="77" fillId="27" borderId="13" xfId="0" applyFont="1" applyFill="1" applyBorder="1" applyAlignment="1" applyProtection="1">
      <alignment horizontal="right" vertical="center" wrapText="1"/>
      <protection locked="0"/>
    </xf>
    <xf numFmtId="0" fontId="77" fillId="27" borderId="13" xfId="0" applyFont="1" applyFill="1" applyBorder="1" applyAlignment="1" applyProtection="1">
      <alignment horizontal="center" vertical="center" wrapText="1"/>
      <protection locked="0"/>
    </xf>
    <xf numFmtId="181" fontId="78" fillId="27" borderId="13" xfId="0" applyNumberFormat="1" applyFont="1" applyFill="1" applyBorder="1" applyAlignment="1" applyProtection="1">
      <alignment horizontal="center" vertical="center" wrapText="1"/>
      <protection locked="0"/>
    </xf>
    <xf numFmtId="173" fontId="77" fillId="27" borderId="13" xfId="0" applyNumberFormat="1" applyFont="1" applyFill="1" applyBorder="1" applyProtection="1">
      <protection locked="0"/>
    </xf>
    <xf numFmtId="173" fontId="0" fillId="0" borderId="13" xfId="0" applyNumberFormat="1" applyFill="1" applyBorder="1" applyProtection="1">
      <protection locked="0"/>
    </xf>
    <xf numFmtId="199" fontId="0" fillId="27" borderId="50" xfId="0" applyNumberFormat="1" applyFill="1" applyBorder="1" applyAlignment="1" applyProtection="1">
      <alignment horizontal="left"/>
      <protection locked="0"/>
    </xf>
    <xf numFmtId="169" fontId="0" fillId="0" borderId="0" xfId="0" applyNumberFormat="1" applyFill="1" applyBorder="1" applyProtection="1">
      <protection locked="0"/>
    </xf>
    <xf numFmtId="171" fontId="0" fillId="0" borderId="0" xfId="43" applyFont="1" applyFill="1" applyBorder="1" applyProtection="1">
      <protection locked="0"/>
    </xf>
    <xf numFmtId="2" fontId="77" fillId="0" borderId="13" xfId="0" applyNumberFormat="1" applyFont="1" applyFill="1" applyBorder="1" applyAlignment="1" applyProtection="1">
      <alignment horizontal="right" indent="1"/>
      <protection locked="0"/>
    </xf>
    <xf numFmtId="181" fontId="77" fillId="0" borderId="13" xfId="0" applyNumberFormat="1" applyFont="1" applyFill="1" applyBorder="1" applyAlignment="1" applyProtection="1">
      <alignment horizontal="right"/>
      <protection locked="0"/>
    </xf>
    <xf numFmtId="181" fontId="77" fillId="0" borderId="13" xfId="0" applyNumberFormat="1" applyFont="1" applyFill="1" applyBorder="1" applyProtection="1">
      <protection locked="0"/>
    </xf>
    <xf numFmtId="173" fontId="77" fillId="0" borderId="13" xfId="0" applyNumberFormat="1" applyFont="1" applyFill="1" applyBorder="1" applyProtection="1">
      <protection locked="0"/>
    </xf>
    <xf numFmtId="169" fontId="0" fillId="75" borderId="50" xfId="0" applyNumberFormat="1" applyFill="1" applyBorder="1" applyAlignment="1" applyProtection="1">
      <alignment horizontal="left"/>
      <protection locked="0"/>
    </xf>
    <xf numFmtId="181" fontId="77" fillId="29" borderId="13" xfId="0" applyNumberFormat="1" applyFont="1" applyFill="1" applyBorder="1" applyAlignment="1" applyProtection="1">
      <alignment horizontal="right"/>
      <protection locked="0"/>
    </xf>
    <xf numFmtId="181" fontId="77" fillId="29" borderId="13" xfId="0" applyNumberFormat="1" applyFont="1" applyFill="1" applyBorder="1" applyProtection="1">
      <protection locked="0"/>
    </xf>
    <xf numFmtId="181" fontId="77" fillId="29" borderId="13" xfId="0" applyNumberFormat="1" applyFont="1" applyFill="1" applyBorder="1" applyAlignment="1" applyProtection="1">
      <alignment vertical="center"/>
      <protection locked="0"/>
    </xf>
    <xf numFmtId="173" fontId="77" fillId="29" borderId="13" xfId="0" applyNumberFormat="1" applyFont="1" applyFill="1" applyBorder="1" applyProtection="1">
      <protection locked="0"/>
    </xf>
    <xf numFmtId="173" fontId="0" fillId="29" borderId="13" xfId="0" applyNumberFormat="1" applyFill="1" applyBorder="1" applyProtection="1">
      <protection locked="0"/>
    </xf>
    <xf numFmtId="169" fontId="0" fillId="29" borderId="0" xfId="0" applyNumberFormat="1" applyFill="1" applyBorder="1" applyProtection="1">
      <protection locked="0"/>
    </xf>
    <xf numFmtId="0" fontId="0" fillId="29" borderId="0" xfId="0" applyFill="1" applyBorder="1" applyProtection="1">
      <protection locked="0"/>
    </xf>
    <xf numFmtId="171" fontId="0" fillId="29" borderId="0" xfId="43" applyFont="1" applyFill="1" applyBorder="1" applyProtection="1">
      <protection locked="0"/>
    </xf>
    <xf numFmtId="169" fontId="0" fillId="75" borderId="36" xfId="0" applyNumberFormat="1" applyFill="1" applyBorder="1" applyAlignment="1" applyProtection="1">
      <alignment horizontal="center" vertical="center"/>
      <protection locked="0"/>
    </xf>
    <xf numFmtId="195" fontId="0" fillId="75" borderId="50" xfId="0" applyNumberFormat="1" applyFill="1" applyBorder="1" applyAlignment="1" applyProtection="1">
      <alignment horizontal="center"/>
      <protection locked="0"/>
    </xf>
    <xf numFmtId="0" fontId="78" fillId="27" borderId="13" xfId="0" applyFont="1" applyFill="1" applyBorder="1" applyAlignment="1" applyProtection="1">
      <alignment vertical="center" wrapText="1"/>
      <protection locked="0"/>
    </xf>
    <xf numFmtId="173" fontId="77" fillId="43" borderId="50" xfId="0" applyNumberFormat="1" applyFont="1" applyFill="1" applyBorder="1" applyProtection="1">
      <protection locked="0"/>
    </xf>
    <xf numFmtId="169" fontId="0" fillId="75" borderId="50" xfId="0" applyNumberFormat="1" applyFill="1" applyBorder="1" applyAlignment="1" applyProtection="1">
      <alignment horizontal="center"/>
      <protection locked="0"/>
    </xf>
    <xf numFmtId="169" fontId="89" fillId="29" borderId="0" xfId="0" applyNumberFormat="1" applyFont="1" applyFill="1" applyBorder="1" applyProtection="1">
      <protection locked="0"/>
    </xf>
    <xf numFmtId="0" fontId="78" fillId="27" borderId="14" xfId="0" applyFont="1" applyFill="1" applyBorder="1" applyAlignment="1" applyProtection="1">
      <alignment vertical="center" wrapText="1"/>
      <protection locked="0"/>
    </xf>
    <xf numFmtId="0" fontId="78" fillId="27" borderId="20" xfId="0" applyFont="1" applyFill="1" applyBorder="1" applyAlignment="1" applyProtection="1">
      <alignment vertical="center" wrapText="1"/>
      <protection locked="0"/>
    </xf>
    <xf numFmtId="181" fontId="77" fillId="0" borderId="16" xfId="0" applyNumberFormat="1" applyFont="1" applyFill="1" applyBorder="1" applyAlignment="1" applyProtection="1">
      <alignment horizontal="right" vertical="center"/>
      <protection locked="0"/>
    </xf>
    <xf numFmtId="173" fontId="77" fillId="0" borderId="13" xfId="0" applyNumberFormat="1" applyFont="1" applyFill="1" applyBorder="1" applyAlignment="1" applyProtection="1">
      <alignment horizontal="right" vertical="center"/>
      <protection locked="0"/>
    </xf>
    <xf numFmtId="171" fontId="0" fillId="0" borderId="13" xfId="43" applyFont="1" applyFill="1" applyBorder="1" applyProtection="1">
      <protection locked="0"/>
    </xf>
    <xf numFmtId="165" fontId="0" fillId="0" borderId="13" xfId="0" applyNumberFormat="1" applyFill="1" applyBorder="1" applyProtection="1">
      <protection locked="0"/>
    </xf>
    <xf numFmtId="0" fontId="0" fillId="75" borderId="50" xfId="0" applyFill="1" applyBorder="1" applyAlignment="1" applyProtection="1">
      <alignment horizontal="center"/>
      <protection locked="0"/>
    </xf>
    <xf numFmtId="171" fontId="0" fillId="0" borderId="0" xfId="0" applyNumberFormat="1" applyFill="1" applyBorder="1" applyProtection="1">
      <protection locked="0"/>
    </xf>
    <xf numFmtId="0" fontId="78" fillId="0" borderId="13" xfId="0" applyFont="1" applyFill="1" applyBorder="1" applyAlignment="1" applyProtection="1">
      <alignment horizontal="right" vertical="center" wrapText="1"/>
      <protection locked="0"/>
    </xf>
    <xf numFmtId="0" fontId="78" fillId="0" borderId="13" xfId="0" applyFont="1" applyFill="1" applyBorder="1" applyAlignment="1" applyProtection="1">
      <alignment vertical="center" wrapText="1"/>
      <protection locked="0"/>
    </xf>
    <xf numFmtId="181" fontId="78" fillId="47" borderId="12" xfId="0" applyNumberFormat="1" applyFont="1" applyFill="1" applyBorder="1" applyAlignment="1" applyProtection="1">
      <alignment vertical="center" wrapText="1"/>
      <protection locked="0"/>
    </xf>
    <xf numFmtId="181" fontId="78" fillId="0" borderId="0" xfId="0" applyNumberFormat="1" applyFont="1" applyFill="1" applyBorder="1" applyAlignment="1" applyProtection="1">
      <alignment vertical="center" wrapText="1"/>
      <protection locked="0"/>
    </xf>
    <xf numFmtId="173" fontId="78" fillId="0" borderId="20" xfId="0" applyNumberFormat="1" applyFont="1" applyFill="1" applyBorder="1" applyProtection="1">
      <protection locked="0"/>
    </xf>
    <xf numFmtId="172" fontId="0" fillId="0" borderId="13" xfId="33" applyFont="1" applyFill="1" applyBorder="1" applyProtection="1">
      <protection locked="0"/>
    </xf>
    <xf numFmtId="172" fontId="0" fillId="0" borderId="13" xfId="0" applyNumberFormat="1" applyFill="1" applyBorder="1" applyProtection="1">
      <protection locked="0"/>
    </xf>
    <xf numFmtId="0" fontId="78" fillId="29" borderId="12" xfId="0" applyFont="1" applyFill="1" applyBorder="1" applyAlignment="1" applyProtection="1">
      <alignment horizontal="center" vertical="center" wrapText="1"/>
      <protection locked="0"/>
    </xf>
    <xf numFmtId="0" fontId="78" fillId="29" borderId="14" xfId="0" applyFont="1" applyFill="1" applyBorder="1" applyAlignment="1" applyProtection="1">
      <alignment horizontal="center" vertical="center" wrapText="1"/>
      <protection locked="0"/>
    </xf>
    <xf numFmtId="0" fontId="78" fillId="29" borderId="20" xfId="0" applyFont="1" applyFill="1" applyBorder="1" applyAlignment="1" applyProtection="1">
      <alignment horizontal="center" vertical="center" wrapText="1"/>
      <protection locked="0"/>
    </xf>
    <xf numFmtId="181" fontId="78" fillId="0" borderId="12" xfId="0" applyNumberFormat="1" applyFont="1" applyFill="1" applyBorder="1" applyAlignment="1" applyProtection="1">
      <alignment vertical="center" wrapText="1"/>
      <protection locked="0"/>
    </xf>
    <xf numFmtId="181" fontId="78" fillId="0" borderId="13" xfId="0" applyNumberFormat="1" applyFont="1" applyFill="1" applyBorder="1" applyAlignment="1" applyProtection="1">
      <alignment vertical="center" wrapText="1"/>
      <protection locked="0"/>
    </xf>
    <xf numFmtId="173" fontId="78" fillId="0" borderId="13" xfId="0" applyNumberFormat="1" applyFont="1" applyFill="1" applyBorder="1" applyProtection="1">
      <protection locked="0"/>
    </xf>
    <xf numFmtId="0" fontId="77" fillId="0" borderId="13" xfId="0" applyFont="1" applyFill="1" applyBorder="1" applyAlignment="1" applyProtection="1">
      <alignment horizontal="right"/>
      <protection locked="0"/>
    </xf>
    <xf numFmtId="0" fontId="77" fillId="0" borderId="13" xfId="0" applyFont="1" applyFill="1" applyBorder="1" applyAlignment="1" applyProtection="1">
      <alignment horizontal="center"/>
      <protection locked="0"/>
    </xf>
    <xf numFmtId="165" fontId="0" fillId="0" borderId="0" xfId="0" applyNumberFormat="1" applyFill="1" applyBorder="1" applyProtection="1">
      <protection locked="0"/>
    </xf>
    <xf numFmtId="0" fontId="77" fillId="0" borderId="13" xfId="0" applyFont="1" applyFill="1" applyBorder="1" applyAlignment="1" applyProtection="1">
      <alignment horizontal="right" vertical="center" wrapText="1"/>
      <protection locked="0"/>
    </xf>
    <xf numFmtId="10" fontId="77" fillId="0" borderId="13" xfId="0" applyNumberFormat="1" applyFont="1" applyFill="1" applyBorder="1" applyAlignment="1" applyProtection="1">
      <alignment horizontal="center" vertical="center"/>
      <protection locked="0"/>
    </xf>
    <xf numFmtId="192" fontId="0" fillId="0" borderId="13" xfId="43" applyNumberFormat="1" applyFont="1" applyFill="1" applyBorder="1" applyProtection="1">
      <protection locked="0"/>
    </xf>
    <xf numFmtId="192" fontId="77" fillId="0" borderId="13" xfId="43" applyNumberFormat="1" applyFont="1" applyFill="1" applyBorder="1" applyAlignment="1" applyProtection="1">
      <alignment horizontal="center"/>
      <protection locked="0"/>
    </xf>
    <xf numFmtId="173" fontId="77" fillId="0" borderId="13" xfId="0" applyNumberFormat="1" applyFont="1" applyFill="1" applyBorder="1" applyAlignment="1" applyProtection="1">
      <alignment horizontal="center"/>
      <protection locked="0"/>
    </xf>
    <xf numFmtId="9" fontId="0" fillId="0" borderId="0" xfId="62" applyFont="1" applyFill="1" applyBorder="1" applyProtection="1">
      <protection locked="0"/>
    </xf>
    <xf numFmtId="173" fontId="0" fillId="0" borderId="0" xfId="0" applyNumberFormat="1" applyFill="1" applyBorder="1" applyProtection="1">
      <protection locked="0"/>
    </xf>
    <xf numFmtId="2" fontId="82" fillId="0" borderId="13" xfId="0" applyNumberFormat="1" applyFont="1" applyFill="1" applyBorder="1" applyAlignment="1" applyProtection="1">
      <alignment horizontal="right" indent="1"/>
      <protection locked="0"/>
    </xf>
    <xf numFmtId="0" fontId="82" fillId="0" borderId="13" xfId="0" applyFont="1" applyFill="1" applyBorder="1" applyAlignment="1" applyProtection="1">
      <alignment horizontal="right"/>
      <protection locked="0"/>
    </xf>
    <xf numFmtId="173" fontId="82" fillId="0" borderId="13" xfId="0" applyNumberFormat="1" applyFont="1" applyFill="1" applyBorder="1" applyAlignment="1" applyProtection="1">
      <alignment horizontal="center"/>
      <protection locked="0"/>
    </xf>
    <xf numFmtId="173" fontId="50" fillId="0" borderId="0" xfId="0" applyNumberFormat="1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9" fontId="77" fillId="0" borderId="13" xfId="0" applyNumberFormat="1" applyFont="1" applyFill="1" applyBorder="1" applyAlignment="1" applyProtection="1">
      <alignment horizontal="center" vertical="center"/>
      <protection locked="0"/>
    </xf>
    <xf numFmtId="10" fontId="0" fillId="0" borderId="0" xfId="62" applyNumberFormat="1" applyFont="1" applyFill="1" applyBorder="1" applyProtection="1">
      <protection locked="0"/>
    </xf>
    <xf numFmtId="181" fontId="0" fillId="0" borderId="0" xfId="0" applyNumberFormat="1" applyFill="1" applyBorder="1" applyProtection="1">
      <protection locked="0"/>
    </xf>
    <xf numFmtId="9" fontId="77" fillId="0" borderId="13" xfId="62" applyFont="1" applyFill="1" applyBorder="1" applyAlignment="1" applyProtection="1">
      <alignment horizontal="center" vertical="center"/>
      <protection locked="0"/>
    </xf>
    <xf numFmtId="171" fontId="0" fillId="0" borderId="13" xfId="43" applyFont="1" applyFill="1" applyBorder="1" applyAlignment="1" applyProtection="1">
      <alignment horizontal="center"/>
      <protection locked="0"/>
    </xf>
    <xf numFmtId="200" fontId="0" fillId="75" borderId="50" xfId="0" applyNumberFormat="1" applyFill="1" applyBorder="1" applyAlignment="1" applyProtection="1">
      <alignment horizontal="center"/>
      <protection locked="0"/>
    </xf>
    <xf numFmtId="171" fontId="10" fillId="0" borderId="0" xfId="43" applyFont="1" applyFill="1" applyBorder="1" applyProtection="1">
      <protection locked="0"/>
    </xf>
    <xf numFmtId="171" fontId="10" fillId="0" borderId="13" xfId="43" applyFont="1" applyFill="1" applyBorder="1" applyProtection="1">
      <protection locked="0"/>
    </xf>
    <xf numFmtId="0" fontId="77" fillId="0" borderId="54" xfId="0" applyFont="1" applyFill="1" applyBorder="1" applyAlignment="1" applyProtection="1">
      <alignment horizontal="center" vertical="center"/>
      <protection locked="0"/>
    </xf>
    <xf numFmtId="0" fontId="78" fillId="26" borderId="59" xfId="0" applyFont="1" applyFill="1" applyBorder="1" applyAlignment="1" applyProtection="1">
      <alignment horizontal="center" vertical="center" wrapText="1"/>
      <protection locked="0"/>
    </xf>
    <xf numFmtId="173" fontId="78" fillId="27" borderId="59" xfId="0" applyNumberFormat="1" applyFont="1" applyFill="1" applyBorder="1" applyProtection="1">
      <protection locked="0"/>
    </xf>
    <xf numFmtId="193" fontId="47" fillId="30" borderId="59" xfId="43" applyNumberFormat="1" applyFont="1" applyFill="1" applyBorder="1" applyProtection="1">
      <protection locked="0"/>
    </xf>
    <xf numFmtId="0" fontId="0" fillId="0" borderId="59" xfId="0" applyFill="1" applyBorder="1" applyProtection="1">
      <protection locked="0"/>
    </xf>
    <xf numFmtId="0" fontId="10" fillId="75" borderId="55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left" vertical="center" wrapText="1"/>
      <protection locked="0"/>
    </xf>
    <xf numFmtId="2" fontId="39" fillId="0" borderId="0" xfId="0" applyNumberFormat="1" applyFont="1" applyFill="1" applyBorder="1" applyAlignment="1" applyProtection="1">
      <alignment horizontal="right" indent="1"/>
      <protection locked="0"/>
    </xf>
    <xf numFmtId="0" fontId="39" fillId="0" borderId="0" xfId="0" applyFont="1" applyFill="1" applyBorder="1" applyAlignment="1" applyProtection="1">
      <alignment horizontal="right"/>
      <protection locked="0"/>
    </xf>
    <xf numFmtId="0" fontId="39" fillId="0" borderId="0" xfId="0" applyFont="1" applyFill="1" applyBorder="1" applyAlignment="1" applyProtection="1">
      <alignment horizontal="center"/>
      <protection locked="0"/>
    </xf>
    <xf numFmtId="181" fontId="10" fillId="0" borderId="0" xfId="0" applyNumberFormat="1" applyFont="1" applyFill="1" applyBorder="1" applyProtection="1">
      <protection locked="0"/>
    </xf>
    <xf numFmtId="173" fontId="10" fillId="0" borderId="0" xfId="0" applyNumberFormat="1" applyFont="1" applyFill="1" applyBorder="1" applyProtection="1">
      <protection locked="0"/>
    </xf>
    <xf numFmtId="0" fontId="0" fillId="75" borderId="0" xfId="0" applyFill="1" applyBorder="1" applyAlignment="1" applyProtection="1">
      <alignment horizontal="center"/>
      <protection locked="0"/>
    </xf>
    <xf numFmtId="193" fontId="0" fillId="0" borderId="0" xfId="43" applyNumberFormat="1" applyFont="1" applyFill="1" applyBorder="1" applyProtection="1">
      <protection locked="0"/>
    </xf>
    <xf numFmtId="173" fontId="0" fillId="75" borderId="0" xfId="0" applyNumberFormat="1" applyFill="1" applyBorder="1" applyAlignment="1" applyProtection="1">
      <alignment horizontal="center"/>
      <protection locked="0"/>
    </xf>
    <xf numFmtId="173" fontId="39" fillId="0" borderId="0" xfId="0" applyNumberFormat="1" applyFont="1" applyFill="1" applyBorder="1" applyAlignment="1" applyProtection="1">
      <alignment horizontal="right"/>
      <protection locked="0"/>
    </xf>
    <xf numFmtId="0" fontId="21" fillId="0" borderId="0" xfId="60" applyFont="1" applyFill="1" applyBorder="1" applyAlignment="1" applyProtection="1">
      <alignment horizontal="center"/>
      <protection locked="0"/>
    </xf>
    <xf numFmtId="2" fontId="21" fillId="0" borderId="0" xfId="60" applyNumberFormat="1" applyAlignment="1" applyProtection="1">
      <alignment horizontal="right" indent="1"/>
      <protection locked="0"/>
    </xf>
    <xf numFmtId="173" fontId="21" fillId="0" borderId="0" xfId="60" applyNumberFormat="1" applyFill="1" applyBorder="1" applyAlignment="1" applyProtection="1">
      <alignment horizontal="right"/>
      <protection locked="0"/>
    </xf>
    <xf numFmtId="2" fontId="30" fillId="0" borderId="0" xfId="60" applyNumberFormat="1" applyFont="1" applyFill="1" applyBorder="1" applyAlignment="1" applyProtection="1">
      <alignment horizontal="right" indent="1"/>
      <protection locked="0"/>
    </xf>
    <xf numFmtId="0" fontId="21" fillId="0" borderId="0" xfId="0" applyFont="1" applyFill="1" applyBorder="1" applyProtection="1">
      <protection locked="0"/>
    </xf>
    <xf numFmtId="173" fontId="40" fillId="0" borderId="0" xfId="60" applyNumberFormat="1" applyFont="1" applyFill="1" applyBorder="1" applyProtection="1">
      <protection locked="0"/>
    </xf>
    <xf numFmtId="171" fontId="21" fillId="0" borderId="0" xfId="52" applyFont="1" applyFill="1" applyBorder="1" applyAlignment="1" applyProtection="1">
      <alignment horizontal="right"/>
      <protection locked="0"/>
    </xf>
    <xf numFmtId="171" fontId="21" fillId="0" borderId="0" xfId="52" applyFont="1" applyFill="1" applyBorder="1" applyAlignment="1" applyProtection="1">
      <alignment horizontal="center"/>
      <protection locked="0"/>
    </xf>
    <xf numFmtId="2" fontId="21" fillId="0" borderId="0" xfId="65" applyNumberFormat="1" applyFont="1" applyFill="1" applyBorder="1" applyAlignment="1" applyProtection="1">
      <alignment horizontal="right" indent="1"/>
      <protection locked="0"/>
    </xf>
    <xf numFmtId="192" fontId="0" fillId="0" borderId="0" xfId="0" applyNumberFormat="1" applyFill="1" applyBorder="1" applyProtection="1">
      <protection locked="0"/>
    </xf>
    <xf numFmtId="171" fontId="21" fillId="0" borderId="0" xfId="60" applyNumberFormat="1" applyFont="1" applyFill="1" applyBorder="1" applyAlignment="1" applyProtection="1">
      <alignment horizontal="center"/>
      <protection locked="0"/>
    </xf>
    <xf numFmtId="2" fontId="21" fillId="0" borderId="0" xfId="60" applyNumberFormat="1" applyFill="1" applyBorder="1" applyAlignment="1" applyProtection="1">
      <alignment horizontal="right" indent="1"/>
      <protection locked="0"/>
    </xf>
    <xf numFmtId="173" fontId="10" fillId="27" borderId="0" xfId="0" applyNumberFormat="1" applyFont="1" applyFill="1" applyBorder="1" applyProtection="1">
      <protection locked="0"/>
    </xf>
    <xf numFmtId="192" fontId="48" fillId="27" borderId="0" xfId="43" applyNumberFormat="1" applyFont="1" applyFill="1" applyBorder="1" applyProtection="1">
      <protection locked="0"/>
    </xf>
    <xf numFmtId="192" fontId="0" fillId="75" borderId="0" xfId="0" applyNumberFormat="1" applyFill="1" applyBorder="1" applyAlignment="1" applyProtection="1">
      <alignment horizontal="center"/>
      <protection locked="0"/>
    </xf>
    <xf numFmtId="0" fontId="21" fillId="0" borderId="0" xfId="60" applyProtection="1">
      <protection locked="0"/>
    </xf>
    <xf numFmtId="192" fontId="48" fillId="30" borderId="0" xfId="43" applyNumberFormat="1" applyFont="1" applyFill="1" applyBorder="1" applyProtection="1">
      <protection locked="0"/>
    </xf>
    <xf numFmtId="192" fontId="21" fillId="0" borderId="0" xfId="52" applyNumberFormat="1" applyFont="1" applyFill="1" applyBorder="1" applyAlignment="1" applyProtection="1">
      <alignment horizontal="center"/>
      <protection locked="0"/>
    </xf>
    <xf numFmtId="0" fontId="30" fillId="0" borderId="0" xfId="0" applyFont="1" applyFill="1" applyBorder="1" applyAlignment="1" applyProtection="1">
      <alignment horizontal="center" vertical="center"/>
      <protection locked="0"/>
    </xf>
    <xf numFmtId="0" fontId="85" fillId="34" borderId="12" xfId="309" applyFont="1" applyFill="1" applyBorder="1" applyAlignment="1">
      <alignment horizontal="center" vertical="center" wrapText="1"/>
    </xf>
    <xf numFmtId="0" fontId="85" fillId="34" borderId="14" xfId="309" applyFont="1" applyFill="1" applyBorder="1" applyAlignment="1">
      <alignment horizontal="center" vertical="center" wrapText="1"/>
    </xf>
    <xf numFmtId="0" fontId="85" fillId="34" borderId="20" xfId="309" applyFont="1" applyFill="1" applyBorder="1" applyAlignment="1">
      <alignment horizontal="center" vertical="center" wrapText="1"/>
    </xf>
    <xf numFmtId="0" fontId="85" fillId="34" borderId="15" xfId="309" applyFont="1" applyFill="1" applyBorder="1" applyAlignment="1">
      <alignment horizontal="center" vertical="center"/>
    </xf>
    <xf numFmtId="0" fontId="85" fillId="34" borderId="0" xfId="309" applyFont="1" applyFill="1" applyBorder="1" applyAlignment="1">
      <alignment horizontal="center" vertical="center"/>
    </xf>
    <xf numFmtId="0" fontId="85" fillId="34" borderId="13" xfId="309" applyFont="1" applyFill="1" applyBorder="1" applyAlignment="1">
      <alignment horizontal="center" vertical="center"/>
    </xf>
    <xf numFmtId="0" fontId="92" fillId="53" borderId="13" xfId="122" applyFont="1" applyFill="1" applyBorder="1" applyAlignment="1">
      <alignment horizontal="center"/>
    </xf>
    <xf numFmtId="0" fontId="58" fillId="34" borderId="13" xfId="122" applyFont="1" applyFill="1" applyBorder="1" applyAlignment="1">
      <alignment horizontal="center" wrapText="1"/>
    </xf>
    <xf numFmtId="0" fontId="10" fillId="0" borderId="13" xfId="122" applyBorder="1" applyAlignment="1">
      <alignment horizontal="center" vertical="center"/>
    </xf>
    <xf numFmtId="0" fontId="10" fillId="0" borderId="16" xfId="122" applyBorder="1" applyAlignment="1">
      <alignment horizontal="center" vertical="center"/>
    </xf>
    <xf numFmtId="0" fontId="10" fillId="0" borderId="11" xfId="122" applyBorder="1" applyAlignment="1">
      <alignment horizontal="center" vertical="center"/>
    </xf>
    <xf numFmtId="0" fontId="10" fillId="0" borderId="18" xfId="122" applyBorder="1" applyAlignment="1">
      <alignment horizontal="center" vertical="center"/>
    </xf>
    <xf numFmtId="0" fontId="87" fillId="0" borderId="13" xfId="309" applyFont="1" applyBorder="1" applyAlignment="1">
      <alignment horizontal="center" vertical="center" wrapText="1"/>
    </xf>
    <xf numFmtId="0" fontId="70" fillId="76" borderId="16" xfId="59" applyFont="1" applyFill="1" applyBorder="1" applyAlignment="1">
      <alignment horizontal="center" vertical="center"/>
    </xf>
    <xf numFmtId="0" fontId="70" fillId="76" borderId="18" xfId="59" applyFont="1" applyFill="1" applyBorder="1" applyAlignment="1">
      <alignment horizontal="center" vertical="center"/>
    </xf>
    <xf numFmtId="0" fontId="90" fillId="76" borderId="16" xfId="59" applyFont="1" applyFill="1" applyBorder="1" applyAlignment="1">
      <alignment horizontal="center" vertical="center"/>
    </xf>
    <xf numFmtId="0" fontId="90" fillId="76" borderId="11" xfId="59" applyFont="1" applyFill="1" applyBorder="1" applyAlignment="1">
      <alignment horizontal="center" vertical="center"/>
    </xf>
    <xf numFmtId="0" fontId="10" fillId="0" borderId="13" xfId="122" applyFont="1" applyBorder="1"/>
    <xf numFmtId="0" fontId="58" fillId="34" borderId="13" xfId="122" applyFont="1" applyFill="1" applyBorder="1" applyAlignment="1">
      <alignment horizontal="center"/>
    </xf>
    <xf numFmtId="0" fontId="85" fillId="34" borderId="13" xfId="309" applyFont="1" applyFill="1" applyBorder="1" applyAlignment="1">
      <alignment horizontal="center"/>
    </xf>
    <xf numFmtId="0" fontId="10" fillId="0" borderId="13" xfId="122" applyBorder="1" applyAlignment="1">
      <alignment horizontal="center"/>
    </xf>
    <xf numFmtId="0" fontId="40" fillId="34" borderId="13" xfId="122" applyFont="1" applyFill="1" applyBorder="1" applyAlignment="1">
      <alignment horizontal="center" vertical="center" wrapText="1"/>
    </xf>
    <xf numFmtId="0" fontId="40" fillId="73" borderId="13" xfId="122" applyFont="1" applyFill="1" applyBorder="1" applyAlignment="1">
      <alignment horizontal="center" vertical="center" wrapText="1"/>
    </xf>
    <xf numFmtId="0" fontId="40" fillId="34" borderId="13" xfId="122" applyFont="1" applyFill="1" applyBorder="1" applyAlignment="1">
      <alignment horizontal="center"/>
    </xf>
    <xf numFmtId="0" fontId="93" fillId="0" borderId="0" xfId="122" applyFont="1" applyAlignment="1">
      <alignment horizontal="center" vertical="center"/>
    </xf>
    <xf numFmtId="0" fontId="10" fillId="74" borderId="13" xfId="122" applyFill="1" applyBorder="1" applyAlignment="1">
      <alignment horizontal="center" vertical="center"/>
    </xf>
    <xf numFmtId="0" fontId="70" fillId="76" borderId="13" xfId="59" applyNumberFormat="1" applyFont="1" applyFill="1" applyBorder="1" applyAlignment="1">
      <alignment horizontal="center" vertical="center" textRotation="45"/>
    </xf>
    <xf numFmtId="0" fontId="70" fillId="39" borderId="16" xfId="59" applyFont="1" applyFill="1" applyBorder="1" applyAlignment="1">
      <alignment horizontal="center" vertical="center"/>
    </xf>
    <xf numFmtId="0" fontId="70" fillId="39" borderId="18" xfId="59" applyFont="1" applyFill="1" applyBorder="1" applyAlignment="1">
      <alignment horizontal="center" vertical="center"/>
    </xf>
    <xf numFmtId="2" fontId="83" fillId="74" borderId="13" xfId="122" applyNumberFormat="1" applyFont="1" applyFill="1" applyBorder="1" applyAlignment="1">
      <alignment horizontal="center" vertical="center"/>
    </xf>
    <xf numFmtId="0" fontId="70" fillId="76" borderId="16" xfId="59" applyFont="1" applyFill="1" applyBorder="1" applyAlignment="1">
      <alignment horizontal="center" vertical="center" wrapText="1"/>
    </xf>
    <xf numFmtId="0" fontId="70" fillId="76" borderId="18" xfId="59" applyFont="1" applyFill="1" applyBorder="1" applyAlignment="1">
      <alignment horizontal="center" vertical="center" wrapText="1"/>
    </xf>
    <xf numFmtId="0" fontId="70" fillId="76" borderId="13" xfId="59" applyFont="1" applyFill="1" applyBorder="1" applyAlignment="1">
      <alignment horizontal="center" vertical="center"/>
    </xf>
    <xf numFmtId="0" fontId="40" fillId="30" borderId="0" xfId="122" applyFont="1" applyFill="1" applyAlignment="1">
      <alignment horizontal="center"/>
    </xf>
    <xf numFmtId="0" fontId="40" fillId="34" borderId="13" xfId="122" applyFont="1" applyFill="1" applyBorder="1" applyAlignment="1">
      <alignment horizontal="center" vertical="center"/>
    </xf>
    <xf numFmtId="181" fontId="78" fillId="27" borderId="50" xfId="0" applyNumberFormat="1" applyFont="1" applyFill="1" applyBorder="1" applyAlignment="1">
      <alignment horizontal="center" vertical="center" textRotation="90" wrapText="1"/>
    </xf>
    <xf numFmtId="0" fontId="77" fillId="25" borderId="49" xfId="0" applyFont="1" applyFill="1" applyBorder="1" applyAlignment="1">
      <alignment horizontal="center"/>
    </xf>
    <xf numFmtId="0" fontId="77" fillId="25" borderId="13" xfId="0" applyFont="1" applyFill="1" applyBorder="1" applyAlignment="1">
      <alignment horizontal="center"/>
    </xf>
    <xf numFmtId="169" fontId="0" fillId="75" borderId="50" xfId="0" applyNumberFormat="1" applyFill="1" applyBorder="1" applyAlignment="1">
      <alignment horizontal="center" vertical="center"/>
    </xf>
    <xf numFmtId="0" fontId="78" fillId="0" borderId="13" xfId="0" applyFont="1" applyFill="1" applyBorder="1" applyAlignment="1">
      <alignment horizontal="center" vertical="center" wrapText="1"/>
    </xf>
    <xf numFmtId="0" fontId="78" fillId="26" borderId="59" xfId="0" applyFont="1" applyFill="1" applyBorder="1" applyAlignment="1">
      <alignment horizontal="center" vertical="center" wrapText="1"/>
    </xf>
    <xf numFmtId="0" fontId="78" fillId="0" borderId="51" xfId="0" applyFont="1" applyFill="1" applyBorder="1" applyAlignment="1">
      <alignment horizontal="center" vertical="center"/>
    </xf>
    <xf numFmtId="0" fontId="78" fillId="0" borderId="52" xfId="0" applyFont="1" applyFill="1" applyBorder="1" applyAlignment="1">
      <alignment horizontal="center" vertical="center"/>
    </xf>
    <xf numFmtId="0" fontId="78" fillId="0" borderId="53" xfId="0" applyFont="1" applyFill="1" applyBorder="1" applyAlignment="1">
      <alignment horizontal="center" vertical="center"/>
    </xf>
    <xf numFmtId="0" fontId="78" fillId="0" borderId="49" xfId="0" applyFont="1" applyFill="1" applyBorder="1" applyAlignment="1">
      <alignment horizontal="center" vertical="center"/>
    </xf>
    <xf numFmtId="0" fontId="78" fillId="0" borderId="13" xfId="0" applyFont="1" applyFill="1" applyBorder="1" applyAlignment="1">
      <alignment horizontal="center" vertical="center"/>
    </xf>
    <xf numFmtId="0" fontId="78" fillId="0" borderId="50" xfId="0" applyFont="1" applyFill="1" applyBorder="1" applyAlignment="1">
      <alignment horizontal="center" vertical="center"/>
    </xf>
    <xf numFmtId="0" fontId="78" fillId="43" borderId="49" xfId="0" applyFont="1" applyFill="1" applyBorder="1" applyAlignment="1">
      <alignment horizontal="center" vertical="center" wrapText="1"/>
    </xf>
    <xf numFmtId="0" fontId="78" fillId="43" borderId="13" xfId="0" applyFont="1" applyFill="1" applyBorder="1" applyAlignment="1">
      <alignment horizontal="center" vertical="center" wrapText="1"/>
    </xf>
    <xf numFmtId="0" fontId="78" fillId="27" borderId="13" xfId="0" applyFont="1" applyFill="1" applyBorder="1" applyAlignment="1">
      <alignment horizontal="center" vertical="center" wrapText="1"/>
    </xf>
    <xf numFmtId="0" fontId="77" fillId="0" borderId="51" xfId="0" applyFont="1" applyFill="1" applyBorder="1" applyAlignment="1">
      <alignment horizontal="center"/>
    </xf>
    <xf numFmtId="0" fontId="77" fillId="0" borderId="52" xfId="0" applyFont="1" applyFill="1" applyBorder="1" applyAlignment="1">
      <alignment horizontal="center"/>
    </xf>
    <xf numFmtId="0" fontId="77" fillId="0" borderId="53" xfId="0" applyFont="1" applyFill="1" applyBorder="1" applyAlignment="1">
      <alignment horizontal="center"/>
    </xf>
    <xf numFmtId="0" fontId="78" fillId="26" borderId="59" xfId="0" applyFont="1" applyFill="1" applyBorder="1" applyAlignment="1" applyProtection="1">
      <alignment horizontal="center" vertical="center" wrapText="1"/>
      <protection locked="0"/>
    </xf>
    <xf numFmtId="0" fontId="78" fillId="47" borderId="49" xfId="0" applyFont="1" applyFill="1" applyBorder="1" applyAlignment="1" applyProtection="1">
      <alignment horizontal="center" vertical="center" wrapText="1"/>
      <protection locked="0"/>
    </xf>
    <xf numFmtId="0" fontId="78" fillId="47" borderId="13" xfId="0" applyFont="1" applyFill="1" applyBorder="1" applyAlignment="1" applyProtection="1">
      <alignment horizontal="center" vertical="center" wrapText="1"/>
      <protection locked="0"/>
    </xf>
    <xf numFmtId="0" fontId="77" fillId="25" borderId="49" xfId="0" applyFont="1" applyFill="1" applyBorder="1" applyAlignment="1" applyProtection="1">
      <alignment horizontal="center"/>
      <protection locked="0"/>
    </xf>
    <xf numFmtId="0" fontId="77" fillId="25" borderId="13" xfId="0" applyFont="1" applyFill="1" applyBorder="1" applyAlignment="1" applyProtection="1">
      <alignment horizontal="center"/>
      <protection locked="0"/>
    </xf>
    <xf numFmtId="0" fontId="78" fillId="47" borderId="12" xfId="0" applyFont="1" applyFill="1" applyBorder="1" applyAlignment="1" applyProtection="1">
      <alignment horizontal="center" vertical="center" wrapText="1"/>
      <protection locked="0"/>
    </xf>
    <xf numFmtId="0" fontId="78" fillId="47" borderId="14" xfId="0" applyFont="1" applyFill="1" applyBorder="1" applyAlignment="1" applyProtection="1">
      <alignment horizontal="center" vertical="center" wrapText="1"/>
      <protection locked="0"/>
    </xf>
    <xf numFmtId="0" fontId="78" fillId="47" borderId="20" xfId="0" applyFont="1" applyFill="1" applyBorder="1" applyAlignment="1" applyProtection="1">
      <alignment horizontal="center" vertical="center" wrapText="1"/>
      <protection locked="0"/>
    </xf>
    <xf numFmtId="0" fontId="78" fillId="0" borderId="12" xfId="0" applyFont="1" applyFill="1" applyBorder="1" applyAlignment="1" applyProtection="1">
      <alignment horizontal="center" vertical="center" wrapText="1"/>
      <protection locked="0"/>
    </xf>
    <xf numFmtId="0" fontId="78" fillId="0" borderId="14" xfId="0" applyFont="1" applyFill="1" applyBorder="1" applyAlignment="1" applyProtection="1">
      <alignment horizontal="center" vertical="center" wrapText="1"/>
      <protection locked="0"/>
    </xf>
    <xf numFmtId="0" fontId="78" fillId="0" borderId="20" xfId="0" applyFont="1" applyFill="1" applyBorder="1" applyAlignment="1" applyProtection="1">
      <alignment horizontal="center" vertical="center" wrapText="1"/>
      <protection locked="0"/>
    </xf>
    <xf numFmtId="169" fontId="0" fillId="75" borderId="26" xfId="0" applyNumberFormat="1" applyFill="1" applyBorder="1" applyAlignment="1" applyProtection="1">
      <alignment horizontal="center" vertical="center"/>
      <protection locked="0"/>
    </xf>
    <xf numFmtId="169" fontId="0" fillId="75" borderId="27" xfId="0" applyNumberFormat="1" applyFill="1" applyBorder="1" applyAlignment="1" applyProtection="1">
      <alignment horizontal="center" vertical="center"/>
      <protection locked="0"/>
    </xf>
    <xf numFmtId="169" fontId="0" fillId="75" borderId="36" xfId="0" applyNumberFormat="1" applyFill="1" applyBorder="1" applyAlignment="1" applyProtection="1">
      <alignment horizontal="center" vertical="center"/>
      <protection locked="0"/>
    </xf>
    <xf numFmtId="181" fontId="78" fillId="27" borderId="50" xfId="0" applyNumberFormat="1" applyFont="1" applyFill="1" applyBorder="1" applyAlignment="1" applyProtection="1">
      <alignment horizontal="center" vertical="center" textRotation="90" wrapText="1"/>
      <protection locked="0"/>
    </xf>
    <xf numFmtId="0" fontId="77" fillId="0" borderId="51" xfId="0" applyFont="1" applyFill="1" applyBorder="1" applyAlignment="1" applyProtection="1">
      <alignment horizontal="center"/>
      <protection locked="0"/>
    </xf>
    <xf numFmtId="0" fontId="77" fillId="0" borderId="52" xfId="0" applyFont="1" applyFill="1" applyBorder="1" applyAlignment="1" applyProtection="1">
      <alignment horizontal="center"/>
      <protection locked="0"/>
    </xf>
    <xf numFmtId="0" fontId="77" fillId="0" borderId="53" xfId="0" applyFont="1" applyFill="1" applyBorder="1" applyAlignment="1" applyProtection="1">
      <alignment horizontal="center"/>
      <protection locked="0"/>
    </xf>
    <xf numFmtId="0" fontId="78" fillId="27" borderId="83" xfId="0" applyFont="1" applyFill="1" applyBorder="1" applyAlignment="1" applyProtection="1">
      <alignment horizontal="center" vertical="center" wrapText="1"/>
    </xf>
    <xf numFmtId="0" fontId="78" fillId="27" borderId="14" xfId="0" applyFont="1" applyFill="1" applyBorder="1" applyAlignment="1" applyProtection="1">
      <alignment horizontal="center" vertical="center" wrapText="1"/>
    </xf>
    <xf numFmtId="0" fontId="78" fillId="27" borderId="20" xfId="0" applyFont="1" applyFill="1" applyBorder="1" applyAlignment="1" applyProtection="1">
      <alignment horizontal="center" vertical="center" wrapText="1"/>
    </xf>
    <xf numFmtId="0" fontId="21" fillId="0" borderId="13" xfId="55" applyBorder="1" applyAlignment="1">
      <alignment horizontal="center"/>
    </xf>
    <xf numFmtId="9" fontId="44" fillId="0" borderId="39" xfId="55" applyNumberFormat="1" applyFont="1" applyFill="1" applyBorder="1" applyAlignment="1">
      <alignment horizontal="center" vertical="center"/>
    </xf>
    <xf numFmtId="9" fontId="44" fillId="0" borderId="31" xfId="55" applyNumberFormat="1" applyFont="1" applyFill="1" applyBorder="1" applyAlignment="1">
      <alignment horizontal="center" vertical="center"/>
    </xf>
    <xf numFmtId="9" fontId="44" fillId="0" borderId="41" xfId="55" applyNumberFormat="1" applyFont="1" applyFill="1" applyBorder="1" applyAlignment="1">
      <alignment horizontal="center" vertical="center"/>
    </xf>
    <xf numFmtId="9" fontId="44" fillId="0" borderId="32" xfId="55" applyNumberFormat="1" applyFont="1" applyFill="1" applyBorder="1" applyAlignment="1">
      <alignment horizontal="center" vertical="center"/>
    </xf>
    <xf numFmtId="9" fontId="44" fillId="0" borderId="42" xfId="55" applyNumberFormat="1" applyFont="1" applyFill="1" applyBorder="1" applyAlignment="1">
      <alignment horizontal="center" vertical="center"/>
    </xf>
    <xf numFmtId="9" fontId="44" fillId="0" borderId="47" xfId="55" applyNumberFormat="1" applyFont="1" applyFill="1" applyBorder="1" applyAlignment="1">
      <alignment horizontal="center" vertical="center"/>
    </xf>
    <xf numFmtId="0" fontId="40" fillId="0" borderId="39" xfId="55" applyFont="1" applyBorder="1" applyAlignment="1">
      <alignment horizontal="center"/>
    </xf>
    <xf numFmtId="0" fontId="40" fillId="0" borderId="40" xfId="55" applyFont="1" applyBorder="1" applyAlignment="1">
      <alignment horizontal="center"/>
    </xf>
    <xf numFmtId="0" fontId="40" fillId="0" borderId="31" xfId="55" applyFont="1" applyBorder="1" applyAlignment="1">
      <alignment horizontal="center"/>
    </xf>
    <xf numFmtId="0" fontId="29" fillId="0" borderId="41" xfId="55" applyFont="1" applyBorder="1" applyAlignment="1">
      <alignment horizontal="center" vertical="center"/>
    </xf>
    <xf numFmtId="0" fontId="29" fillId="0" borderId="0" xfId="55" applyFont="1" applyBorder="1" applyAlignment="1">
      <alignment horizontal="center" vertical="center"/>
    </xf>
    <xf numFmtId="0" fontId="29" fillId="0" borderId="32" xfId="55" applyFont="1" applyBorder="1" applyAlignment="1">
      <alignment horizontal="center" vertical="center"/>
    </xf>
    <xf numFmtId="0" fontId="29" fillId="0" borderId="42" xfId="55" applyFont="1" applyBorder="1" applyAlignment="1">
      <alignment horizontal="center" vertical="center"/>
    </xf>
    <xf numFmtId="0" fontId="29" fillId="0" borderId="38" xfId="55" applyFont="1" applyBorder="1" applyAlignment="1">
      <alignment horizontal="center" vertical="center"/>
    </xf>
    <xf numFmtId="0" fontId="29" fillId="0" borderId="47" xfId="55" applyFont="1" applyBorder="1" applyAlignment="1">
      <alignment horizontal="center" vertical="center"/>
    </xf>
    <xf numFmtId="0" fontId="65" fillId="71" borderId="0" xfId="55" applyFont="1" applyFill="1" applyAlignment="1">
      <alignment horizontal="center" vertical="center"/>
    </xf>
    <xf numFmtId="0" fontId="65" fillId="71" borderId="0" xfId="55" applyFont="1" applyFill="1" applyAlignment="1">
      <alignment horizontal="center" vertical="center" wrapText="1"/>
    </xf>
    <xf numFmtId="0" fontId="45" fillId="0" borderId="0" xfId="0" applyFont="1" applyFill="1" applyAlignment="1">
      <alignment horizontal="center"/>
    </xf>
    <xf numFmtId="0" fontId="35" fillId="0" borderId="43" xfId="0" applyFont="1" applyFill="1" applyBorder="1" applyAlignment="1">
      <alignment horizontal="center"/>
    </xf>
    <xf numFmtId="0" fontId="35" fillId="0" borderId="28" xfId="0" applyFont="1" applyFill="1" applyBorder="1" applyAlignment="1">
      <alignment horizontal="center"/>
    </xf>
    <xf numFmtId="0" fontId="35" fillId="0" borderId="48" xfId="0" applyFont="1" applyFill="1" applyBorder="1" applyAlignment="1">
      <alignment horizontal="center"/>
    </xf>
    <xf numFmtId="0" fontId="37" fillId="0" borderId="0" xfId="0" applyFont="1" applyFill="1" applyAlignment="1">
      <alignment horizontal="center" vertical="center" wrapText="1"/>
    </xf>
    <xf numFmtId="0" fontId="36" fillId="0" borderId="66" xfId="79" applyFont="1" applyFill="1" applyBorder="1" applyAlignment="1">
      <alignment horizontal="center"/>
    </xf>
    <xf numFmtId="0" fontId="36" fillId="0" borderId="67" xfId="79" applyFont="1" applyFill="1" applyBorder="1" applyAlignment="1">
      <alignment horizontal="center"/>
    </xf>
    <xf numFmtId="0" fontId="35" fillId="0" borderId="43" xfId="79" applyFont="1" applyFill="1" applyBorder="1" applyAlignment="1">
      <alignment horizontal="center"/>
    </xf>
    <xf numFmtId="0" fontId="35" fillId="0" borderId="28" xfId="79" applyFont="1" applyFill="1" applyBorder="1" applyAlignment="1">
      <alignment horizontal="center"/>
    </xf>
    <xf numFmtId="0" fontId="35" fillId="0" borderId="48" xfId="79" applyFont="1" applyFill="1" applyBorder="1" applyAlignment="1">
      <alignment horizontal="center"/>
    </xf>
    <xf numFmtId="0" fontId="30" fillId="0" borderId="62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0" fillId="0" borderId="79" xfId="0" applyFont="1" applyBorder="1" applyAlignment="1">
      <alignment horizontal="center" vertical="center" wrapText="1"/>
    </xf>
    <xf numFmtId="0" fontId="0" fillId="0" borderId="64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60" xfId="0" applyBorder="1" applyAlignment="1">
      <alignment vertical="center" wrapText="1"/>
    </xf>
    <xf numFmtId="0" fontId="29" fillId="0" borderId="0" xfId="0" applyFont="1" applyBorder="1" applyAlignment="1">
      <alignment horizontal="center"/>
    </xf>
    <xf numFmtId="0" fontId="30" fillId="25" borderId="39" xfId="0" applyFont="1" applyFill="1" applyBorder="1" applyAlignment="1">
      <alignment horizontal="center" vertical="center" wrapText="1"/>
    </xf>
    <xf numFmtId="0" fontId="30" fillId="25" borderId="40" xfId="0" applyFont="1" applyFill="1" applyBorder="1" applyAlignment="1">
      <alignment horizontal="center" vertical="center" wrapText="1"/>
    </xf>
    <xf numFmtId="0" fontId="30" fillId="25" borderId="31" xfId="0" applyFont="1" applyFill="1" applyBorder="1" applyAlignment="1">
      <alignment horizontal="center" vertical="center" wrapText="1"/>
    </xf>
    <xf numFmtId="0" fontId="0" fillId="0" borderId="42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30" fillId="0" borderId="29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30" fillId="0" borderId="58" xfId="0" applyFont="1" applyBorder="1" applyAlignment="1">
      <alignment horizontal="center" vertical="center" wrapText="1"/>
    </xf>
    <xf numFmtId="17" fontId="30" fillId="30" borderId="0" xfId="0" applyNumberFormat="1" applyFont="1" applyFill="1" applyBorder="1" applyAlignment="1">
      <alignment horizontal="right"/>
    </xf>
    <xf numFmtId="0" fontId="30" fillId="30" borderId="0" xfId="0" applyFont="1" applyFill="1" applyBorder="1" applyAlignment="1">
      <alignment horizontal="right"/>
    </xf>
    <xf numFmtId="0" fontId="30" fillId="25" borderId="39" xfId="0" applyFont="1" applyFill="1" applyBorder="1" applyAlignment="1">
      <alignment horizontal="center" vertical="center"/>
    </xf>
    <xf numFmtId="0" fontId="30" fillId="25" borderId="40" xfId="0" applyFont="1" applyFill="1" applyBorder="1" applyAlignment="1">
      <alignment horizontal="center" vertical="center"/>
    </xf>
    <xf numFmtId="0" fontId="30" fillId="25" borderId="31" xfId="0" applyFont="1" applyFill="1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47" xfId="0" applyBorder="1" applyAlignment="1">
      <alignment vertical="center"/>
    </xf>
    <xf numFmtId="0" fontId="29" fillId="0" borderId="13" xfId="0" applyFont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30" fillId="0" borderId="13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10" fillId="0" borderId="23" xfId="0" applyFont="1" applyFill="1" applyBorder="1" applyAlignment="1">
      <alignment horizontal="center"/>
    </xf>
    <xf numFmtId="0" fontId="10" fillId="0" borderId="24" xfId="0" applyFont="1" applyFill="1" applyBorder="1" applyAlignment="1">
      <alignment horizontal="center"/>
    </xf>
    <xf numFmtId="0" fontId="69" fillId="0" borderId="13" xfId="78" applyFont="1" applyBorder="1" applyAlignment="1">
      <alignment horizontal="center"/>
    </xf>
    <xf numFmtId="0" fontId="69" fillId="0" borderId="13" xfId="78" applyFont="1" applyBorder="1" applyAlignment="1">
      <alignment horizontal="center" vertical="center" wrapText="1"/>
    </xf>
    <xf numFmtId="0" fontId="66" fillId="0" borderId="51" xfId="78" applyFont="1" applyBorder="1" applyAlignment="1">
      <alignment horizontal="center"/>
    </xf>
    <xf numFmtId="0" fontId="66" fillId="0" borderId="52" xfId="78" applyFont="1" applyBorder="1" applyAlignment="1">
      <alignment horizontal="center"/>
    </xf>
    <xf numFmtId="0" fontId="66" fillId="0" borderId="53" xfId="78" applyFont="1" applyBorder="1" applyAlignment="1">
      <alignment horizontal="center"/>
    </xf>
    <xf numFmtId="0" fontId="69" fillId="0" borderId="50" xfId="81" applyFont="1" applyBorder="1" applyAlignment="1">
      <alignment horizontal="center" vertical="center"/>
    </xf>
    <xf numFmtId="0" fontId="66" fillId="0" borderId="54" xfId="78" applyFont="1" applyBorder="1" applyAlignment="1">
      <alignment horizontal="left"/>
    </xf>
    <xf numFmtId="0" fontId="66" fillId="0" borderId="59" xfId="78" applyFont="1" applyBorder="1" applyAlignment="1">
      <alignment horizontal="left"/>
    </xf>
    <xf numFmtId="0" fontId="66" fillId="0" borderId="51" xfId="81" applyFont="1" applyBorder="1" applyAlignment="1">
      <alignment horizontal="center"/>
    </xf>
    <xf numFmtId="0" fontId="66" fillId="0" borderId="52" xfId="81" applyFont="1" applyBorder="1" applyAlignment="1">
      <alignment horizontal="center"/>
    </xf>
    <xf numFmtId="0" fontId="66" fillId="0" borderId="13" xfId="81" applyFont="1" applyBorder="1" applyAlignment="1">
      <alignment horizontal="left" wrapText="1"/>
    </xf>
    <xf numFmtId="196" fontId="69" fillId="0" borderId="13" xfId="81" applyNumberFormat="1" applyFont="1" applyBorder="1" applyAlignment="1">
      <alignment horizontal="center" vertical="center"/>
    </xf>
    <xf numFmtId="0" fontId="69" fillId="0" borderId="49" xfId="78" applyFont="1" applyBorder="1"/>
    <xf numFmtId="0" fontId="69" fillId="0" borderId="13" xfId="78" applyFont="1" applyBorder="1"/>
    <xf numFmtId="0" fontId="69" fillId="70" borderId="49" xfId="78" applyFont="1" applyFill="1" applyBorder="1"/>
    <xf numFmtId="0" fontId="69" fillId="70" borderId="13" xfId="78" applyFont="1" applyFill="1" applyBorder="1"/>
    <xf numFmtId="0" fontId="66" fillId="0" borderId="0" xfId="78" applyFont="1" applyFill="1" applyBorder="1" applyAlignment="1">
      <alignment horizontal="center" vertical="center"/>
    </xf>
    <xf numFmtId="0" fontId="66" fillId="0" borderId="0" xfId="78" applyFont="1" applyFill="1" applyBorder="1" applyAlignment="1">
      <alignment horizontal="center"/>
    </xf>
    <xf numFmtId="2" fontId="69" fillId="0" borderId="0" xfId="78" applyNumberFormat="1" applyFont="1" applyFill="1" applyBorder="1" applyAlignment="1">
      <alignment horizontal="center"/>
    </xf>
    <xf numFmtId="2" fontId="69" fillId="0" borderId="32" xfId="78" applyNumberFormat="1" applyFont="1" applyFill="1" applyBorder="1" applyAlignment="1">
      <alignment horizontal="center"/>
    </xf>
    <xf numFmtId="1" fontId="69" fillId="0" borderId="0" xfId="78" applyNumberFormat="1" applyFont="1" applyBorder="1" applyAlignment="1">
      <alignment horizontal="center"/>
    </xf>
    <xf numFmtId="0" fontId="69" fillId="0" borderId="0" xfId="78" applyFont="1" applyBorder="1" applyAlignment="1">
      <alignment horizontal="center"/>
    </xf>
    <xf numFmtId="0" fontId="69" fillId="0" borderId="32" xfId="78" applyFont="1" applyBorder="1" applyAlignment="1">
      <alignment horizontal="center"/>
    </xf>
    <xf numFmtId="0" fontId="69" fillId="70" borderId="0" xfId="78" applyFont="1" applyFill="1" applyBorder="1" applyAlignment="1">
      <alignment horizontal="center"/>
    </xf>
    <xf numFmtId="0" fontId="69" fillId="70" borderId="32" xfId="78" applyFont="1" applyFill="1" applyBorder="1" applyAlignment="1">
      <alignment horizontal="center"/>
    </xf>
    <xf numFmtId="0" fontId="66" fillId="40" borderId="49" xfId="78" applyFont="1" applyFill="1" applyBorder="1" applyAlignment="1">
      <alignment horizontal="center"/>
    </xf>
    <xf numFmtId="0" fontId="66" fillId="40" borderId="13" xfId="78" applyFont="1" applyFill="1" applyBorder="1" applyAlignment="1">
      <alignment horizontal="center"/>
    </xf>
    <xf numFmtId="0" fontId="69" fillId="0" borderId="49" xfId="78" applyFont="1" applyBorder="1" applyAlignment="1">
      <alignment horizontal="left"/>
    </xf>
    <xf numFmtId="0" fontId="69" fillId="0" borderId="13" xfId="78" applyFont="1" applyBorder="1" applyAlignment="1">
      <alignment horizontal="left"/>
    </xf>
    <xf numFmtId="0" fontId="69" fillId="0" borderId="25" xfId="78" applyFont="1" applyBorder="1" applyAlignment="1">
      <alignment horizontal="left"/>
    </xf>
    <xf numFmtId="0" fontId="69" fillId="0" borderId="16" xfId="78" applyFont="1" applyBorder="1" applyAlignment="1">
      <alignment horizontal="left"/>
    </xf>
    <xf numFmtId="0" fontId="66" fillId="34" borderId="41" xfId="78" applyFont="1" applyFill="1" applyBorder="1" applyAlignment="1">
      <alignment horizontal="center" vertical="center"/>
    </xf>
    <xf numFmtId="0" fontId="66" fillId="34" borderId="0" xfId="78" applyFont="1" applyFill="1" applyBorder="1" applyAlignment="1">
      <alignment horizontal="center" vertical="center"/>
    </xf>
    <xf numFmtId="0" fontId="66" fillId="34" borderId="32" xfId="78" applyFont="1" applyFill="1" applyBorder="1" applyAlignment="1">
      <alignment horizontal="center" vertical="center"/>
    </xf>
    <xf numFmtId="0" fontId="69" fillId="0" borderId="41" xfId="78" applyFont="1" applyBorder="1" applyAlignment="1">
      <alignment vertical="center"/>
    </xf>
    <xf numFmtId="0" fontId="69" fillId="0" borderId="0" xfId="78" applyFont="1" applyBorder="1" applyAlignment="1">
      <alignment vertical="center"/>
    </xf>
    <xf numFmtId="0" fontId="69" fillId="0" borderId="41" xfId="78" applyFont="1" applyBorder="1" applyAlignment="1">
      <alignment horizontal="left"/>
    </xf>
    <xf numFmtId="0" fontId="69" fillId="0" borderId="0" xfId="78" applyFont="1" applyBorder="1" applyAlignment="1">
      <alignment horizontal="left"/>
    </xf>
    <xf numFmtId="0" fontId="66" fillId="53" borderId="42" xfId="78" applyFont="1" applyFill="1" applyBorder="1" applyAlignment="1">
      <alignment horizontal="center"/>
    </xf>
    <xf numFmtId="0" fontId="66" fillId="53" borderId="38" xfId="78" applyFont="1" applyFill="1" applyBorder="1" applyAlignment="1">
      <alignment horizontal="center"/>
    </xf>
    <xf numFmtId="0" fontId="66" fillId="53" borderId="47" xfId="78" applyFont="1" applyFill="1" applyBorder="1" applyAlignment="1">
      <alignment horizontal="center"/>
    </xf>
    <xf numFmtId="0" fontId="69" fillId="0" borderId="41" xfId="78" applyFont="1" applyFill="1" applyBorder="1" applyAlignment="1">
      <alignment horizontal="left" vertical="center" wrapText="1"/>
    </xf>
    <xf numFmtId="0" fontId="69" fillId="0" borderId="0" xfId="78" applyFont="1" applyFill="1" applyBorder="1" applyAlignment="1">
      <alignment horizontal="left" vertical="center" wrapText="1"/>
    </xf>
    <xf numFmtId="0" fontId="69" fillId="0" borderId="0" xfId="78" applyFont="1" applyFill="1" applyBorder="1" applyAlignment="1">
      <alignment horizontal="center" vertical="center"/>
    </xf>
    <xf numFmtId="0" fontId="66" fillId="48" borderId="41" xfId="78" applyFont="1" applyFill="1" applyBorder="1" applyAlignment="1">
      <alignment horizontal="center" vertical="center"/>
    </xf>
    <xf numFmtId="0" fontId="66" fillId="48" borderId="0" xfId="78" applyFont="1" applyFill="1" applyBorder="1" applyAlignment="1">
      <alignment horizontal="center" vertical="center"/>
    </xf>
    <xf numFmtId="0" fontId="66" fillId="48" borderId="32" xfId="78" applyFont="1" applyFill="1" applyBorder="1" applyAlignment="1">
      <alignment horizontal="center" vertical="center"/>
    </xf>
    <xf numFmtId="0" fontId="69" fillId="0" borderId="41" xfId="78" applyFont="1" applyFill="1" applyBorder="1" applyAlignment="1">
      <alignment horizontal="justify" vertical="justify" wrapText="1"/>
    </xf>
    <xf numFmtId="0" fontId="69" fillId="0" borderId="0" xfId="78" applyFont="1" applyFill="1" applyBorder="1" applyAlignment="1">
      <alignment horizontal="justify" vertical="justify" wrapText="1"/>
    </xf>
    <xf numFmtId="0" fontId="69" fillId="0" borderId="0" xfId="78" applyFont="1" applyFill="1" applyBorder="1" applyAlignment="1">
      <alignment horizontal="center" vertical="center" wrapText="1"/>
    </xf>
    <xf numFmtId="1" fontId="69" fillId="0" borderId="32" xfId="78" applyNumberFormat="1" applyFont="1" applyFill="1" applyBorder="1" applyAlignment="1">
      <alignment horizontal="center" vertical="center" wrapText="1"/>
    </xf>
    <xf numFmtId="0" fontId="69" fillId="0" borderId="41" xfId="78" applyFont="1" applyFill="1" applyBorder="1" applyAlignment="1">
      <alignment horizontal="left" vertical="center"/>
    </xf>
    <xf numFmtId="0" fontId="69" fillId="0" borderId="0" xfId="78" applyFont="1" applyFill="1" applyBorder="1" applyAlignment="1">
      <alignment horizontal="left" vertical="center"/>
    </xf>
    <xf numFmtId="0" fontId="66" fillId="51" borderId="41" xfId="78" applyFont="1" applyFill="1" applyBorder="1" applyAlignment="1">
      <alignment horizontal="center"/>
    </xf>
    <xf numFmtId="0" fontId="66" fillId="51" borderId="0" xfId="78" applyFont="1" applyFill="1" applyBorder="1" applyAlignment="1">
      <alignment horizontal="center"/>
    </xf>
    <xf numFmtId="0" fontId="66" fillId="51" borderId="32" xfId="78" applyFont="1" applyFill="1" applyBorder="1" applyAlignment="1">
      <alignment horizontal="center"/>
    </xf>
    <xf numFmtId="0" fontId="66" fillId="30" borderId="49" xfId="78" applyFont="1" applyFill="1" applyBorder="1" applyAlignment="1">
      <alignment horizontal="center" vertical="center"/>
    </xf>
    <xf numFmtId="0" fontId="66" fillId="30" borderId="13" xfId="78" applyFont="1" applyFill="1" applyBorder="1" applyAlignment="1">
      <alignment horizontal="center" vertical="center"/>
    </xf>
    <xf numFmtId="0" fontId="66" fillId="30" borderId="50" xfId="78" applyFont="1" applyFill="1" applyBorder="1" applyAlignment="1">
      <alignment horizontal="center" vertical="center"/>
    </xf>
    <xf numFmtId="0" fontId="66" fillId="72" borderId="45" xfId="78" applyFont="1" applyFill="1" applyBorder="1" applyAlignment="1">
      <alignment horizontal="center"/>
    </xf>
    <xf numFmtId="0" fontId="66" fillId="72" borderId="46" xfId="78" applyFont="1" applyFill="1" applyBorder="1" applyAlignment="1">
      <alignment horizontal="center"/>
    </xf>
    <xf numFmtId="0" fontId="72" fillId="52" borderId="41" xfId="78" applyFont="1" applyFill="1" applyBorder="1" applyAlignment="1">
      <alignment horizontal="center" vertical="center"/>
    </xf>
    <xf numFmtId="0" fontId="72" fillId="52" borderId="0" xfId="78" applyFont="1" applyFill="1" applyBorder="1" applyAlignment="1">
      <alignment horizontal="center" vertical="center"/>
    </xf>
    <xf numFmtId="0" fontId="66" fillId="0" borderId="41" xfId="78" applyFont="1" applyBorder="1" applyAlignment="1">
      <alignment horizontal="center"/>
    </xf>
    <xf numFmtId="0" fontId="66" fillId="0" borderId="0" xfId="78" applyFont="1" applyBorder="1" applyAlignment="1">
      <alignment horizontal="center"/>
    </xf>
    <xf numFmtId="0" fontId="66" fillId="50" borderId="41" xfId="78" applyFont="1" applyFill="1" applyBorder="1" applyAlignment="1">
      <alignment horizontal="center" vertical="center"/>
    </xf>
    <xf numFmtId="0" fontId="66" fillId="50" borderId="0" xfId="78" applyFont="1" applyFill="1" applyBorder="1" applyAlignment="1">
      <alignment horizontal="center" vertical="center"/>
    </xf>
    <xf numFmtId="0" fontId="66" fillId="50" borderId="32" xfId="78" applyFont="1" applyFill="1" applyBorder="1" applyAlignment="1">
      <alignment horizontal="center" vertical="center"/>
    </xf>
    <xf numFmtId="1" fontId="69" fillId="0" borderId="32" xfId="78" applyNumberFormat="1" applyFont="1" applyFill="1" applyBorder="1" applyAlignment="1">
      <alignment horizontal="center" vertical="center"/>
    </xf>
    <xf numFmtId="0" fontId="66" fillId="0" borderId="49" xfId="78" applyFont="1" applyBorder="1" applyAlignment="1">
      <alignment horizontal="center" vertical="center"/>
    </xf>
    <xf numFmtId="0" fontId="70" fillId="42" borderId="43" xfId="78" applyFont="1" applyFill="1" applyBorder="1" applyAlignment="1">
      <alignment horizontal="center" vertical="center"/>
    </xf>
    <xf numFmtId="0" fontId="70" fillId="42" borderId="28" xfId="78" applyFont="1" applyFill="1" applyBorder="1" applyAlignment="1">
      <alignment horizontal="center" vertical="center"/>
    </xf>
    <xf numFmtId="0" fontId="70" fillId="42" borderId="48" xfId="78" applyFont="1" applyFill="1" applyBorder="1" applyAlignment="1">
      <alignment horizontal="center" vertical="center"/>
    </xf>
    <xf numFmtId="0" fontId="71" fillId="0" borderId="41" xfId="78" applyFont="1" applyFill="1" applyBorder="1" applyAlignment="1">
      <alignment horizontal="left" vertical="center" wrapText="1"/>
    </xf>
    <xf numFmtId="0" fontId="71" fillId="0" borderId="0" xfId="78" applyFont="1" applyFill="1" applyBorder="1" applyAlignment="1">
      <alignment horizontal="left" vertical="center" wrapText="1"/>
    </xf>
    <xf numFmtId="0" fontId="67" fillId="71" borderId="22" xfId="78" applyFont="1" applyFill="1" applyBorder="1" applyAlignment="1">
      <alignment horizontal="center" vertical="center" wrapText="1"/>
    </xf>
    <xf numFmtId="0" fontId="67" fillId="71" borderId="23" xfId="78" applyFont="1" applyFill="1" applyBorder="1" applyAlignment="1">
      <alignment horizontal="center" vertical="center" wrapText="1"/>
    </xf>
    <xf numFmtId="0" fontId="67" fillId="71" borderId="24" xfId="78" applyFont="1" applyFill="1" applyBorder="1" applyAlignment="1">
      <alignment horizontal="center" vertical="center" wrapText="1"/>
    </xf>
    <xf numFmtId="0" fontId="67" fillId="71" borderId="51" xfId="78" applyFont="1" applyFill="1" applyBorder="1" applyAlignment="1">
      <alignment horizontal="center" vertical="center" wrapText="1"/>
    </xf>
    <xf numFmtId="0" fontId="67" fillId="71" borderId="52" xfId="78" applyFont="1" applyFill="1" applyBorder="1" applyAlignment="1">
      <alignment horizontal="center" vertical="center" wrapText="1"/>
    </xf>
    <xf numFmtId="0" fontId="67" fillId="71" borderId="53" xfId="78" applyFont="1" applyFill="1" applyBorder="1" applyAlignment="1">
      <alignment horizontal="center" vertical="center" wrapText="1"/>
    </xf>
    <xf numFmtId="0" fontId="67" fillId="71" borderId="54" xfId="78" applyFont="1" applyFill="1" applyBorder="1" applyAlignment="1">
      <alignment horizontal="center" vertical="center" wrapText="1"/>
    </xf>
    <xf numFmtId="0" fontId="67" fillId="71" borderId="59" xfId="78" applyFont="1" applyFill="1" applyBorder="1" applyAlignment="1">
      <alignment horizontal="center" vertical="center" wrapText="1"/>
    </xf>
    <xf numFmtId="0" fontId="67" fillId="71" borderId="55" xfId="78" applyFont="1" applyFill="1" applyBorder="1" applyAlignment="1">
      <alignment horizontal="center" vertical="center" wrapText="1"/>
    </xf>
    <xf numFmtId="0" fontId="70" fillId="30" borderId="22" xfId="78" applyFont="1" applyFill="1" applyBorder="1" applyAlignment="1">
      <alignment horizontal="center" vertical="center"/>
    </xf>
    <xf numFmtId="0" fontId="70" fillId="30" borderId="23" xfId="78" applyFont="1" applyFill="1" applyBorder="1" applyAlignment="1">
      <alignment horizontal="center" vertical="center"/>
    </xf>
    <xf numFmtId="0" fontId="70" fillId="30" borderId="24" xfId="78" applyFont="1" applyFill="1" applyBorder="1" applyAlignment="1">
      <alignment horizontal="center" vertical="center"/>
    </xf>
    <xf numFmtId="0" fontId="70" fillId="30" borderId="43" xfId="78" applyFont="1" applyFill="1" applyBorder="1" applyAlignment="1">
      <alignment horizontal="center" vertical="center" wrapText="1"/>
    </xf>
    <xf numFmtId="0" fontId="70" fillId="30" borderId="28" xfId="78" applyFont="1" applyFill="1" applyBorder="1" applyAlignment="1">
      <alignment horizontal="center" vertical="center" wrapText="1"/>
    </xf>
    <xf numFmtId="0" fontId="70" fillId="30" borderId="48" xfId="78" applyFont="1" applyFill="1" applyBorder="1" applyAlignment="1">
      <alignment horizontal="center" vertical="center" wrapText="1"/>
    </xf>
    <xf numFmtId="0" fontId="69" fillId="0" borderId="50" xfId="78" applyFont="1" applyBorder="1" applyAlignment="1">
      <alignment horizontal="center" vertical="center" wrapText="1"/>
    </xf>
    <xf numFmtId="1" fontId="69" fillId="0" borderId="13" xfId="78" applyNumberFormat="1" applyFont="1" applyFill="1" applyBorder="1" applyAlignment="1">
      <alignment horizontal="center" vertical="center"/>
    </xf>
    <xf numFmtId="1" fontId="69" fillId="0" borderId="50" xfId="78" applyNumberFormat="1" applyFont="1" applyFill="1" applyBorder="1" applyAlignment="1">
      <alignment horizontal="center" vertical="center"/>
    </xf>
    <xf numFmtId="0" fontId="71" fillId="47" borderId="49" xfId="78" applyFont="1" applyFill="1" applyBorder="1" applyAlignment="1">
      <alignment horizontal="center" vertical="center" wrapText="1"/>
    </xf>
    <xf numFmtId="0" fontId="71" fillId="47" borderId="13" xfId="78" applyFont="1" applyFill="1" applyBorder="1" applyAlignment="1">
      <alignment horizontal="center" vertical="center" wrapText="1"/>
    </xf>
    <xf numFmtId="0" fontId="71" fillId="47" borderId="50" xfId="78" applyFont="1" applyFill="1" applyBorder="1" applyAlignment="1">
      <alignment horizontal="center" vertical="center" wrapText="1"/>
    </xf>
    <xf numFmtId="0" fontId="69" fillId="0" borderId="41" xfId="78" applyFont="1" applyFill="1" applyBorder="1" applyAlignment="1">
      <alignment horizontal="left"/>
    </xf>
    <xf numFmtId="0" fontId="69" fillId="0" borderId="0" xfId="78" applyFont="1" applyFill="1" applyBorder="1" applyAlignment="1">
      <alignment horizontal="left"/>
    </xf>
    <xf numFmtId="0" fontId="66" fillId="30" borderId="49" xfId="78" applyFont="1" applyFill="1" applyBorder="1" applyAlignment="1">
      <alignment horizontal="center"/>
    </xf>
    <xf numFmtId="0" fontId="66" fillId="30" borderId="13" xfId="78" applyFont="1" applyFill="1" applyBorder="1" applyAlignment="1">
      <alignment horizontal="center"/>
    </xf>
    <xf numFmtId="0" fontId="71" fillId="47" borderId="49" xfId="78" applyFont="1" applyFill="1" applyBorder="1" applyAlignment="1">
      <alignment horizontal="center" vertical="center"/>
    </xf>
    <xf numFmtId="0" fontId="71" fillId="47" borderId="13" xfId="78" applyFont="1" applyFill="1" applyBorder="1" applyAlignment="1">
      <alignment horizontal="center" vertical="center"/>
    </xf>
    <xf numFmtId="1" fontId="71" fillId="47" borderId="13" xfId="78" applyNumberFormat="1" applyFont="1" applyFill="1" applyBorder="1" applyAlignment="1">
      <alignment horizontal="center" vertical="center" wrapText="1"/>
    </xf>
    <xf numFmtId="1" fontId="71" fillId="47" borderId="13" xfId="78" applyNumberFormat="1" applyFont="1" applyFill="1" applyBorder="1" applyAlignment="1">
      <alignment horizontal="center"/>
    </xf>
    <xf numFmtId="1" fontId="71" fillId="47" borderId="50" xfId="78" applyNumberFormat="1" applyFont="1" applyFill="1" applyBorder="1" applyAlignment="1">
      <alignment horizontal="center"/>
    </xf>
    <xf numFmtId="0" fontId="71" fillId="47" borderId="54" xfId="78" applyFont="1" applyFill="1" applyBorder="1" applyAlignment="1">
      <alignment horizontal="center"/>
    </xf>
    <xf numFmtId="0" fontId="71" fillId="47" borderId="59" xfId="78" applyFont="1" applyFill="1" applyBorder="1" applyAlignment="1">
      <alignment horizontal="center"/>
    </xf>
    <xf numFmtId="1" fontId="71" fillId="47" borderId="59" xfId="78" applyNumberFormat="1" applyFont="1" applyFill="1" applyBorder="1" applyAlignment="1">
      <alignment horizontal="center"/>
    </xf>
    <xf numFmtId="1" fontId="71" fillId="47" borderId="55" xfId="78" applyNumberFormat="1" applyFont="1" applyFill="1" applyBorder="1" applyAlignment="1">
      <alignment horizontal="center"/>
    </xf>
    <xf numFmtId="176" fontId="30" fillId="0" borderId="43" xfId="0" applyNumberFormat="1" applyFont="1" applyBorder="1" applyAlignment="1" applyProtection="1">
      <alignment horizontal="center"/>
    </xf>
    <xf numFmtId="176" fontId="30" fillId="0" borderId="28" xfId="0" applyNumberFormat="1" applyFont="1" applyBorder="1" applyAlignment="1" applyProtection="1">
      <alignment horizontal="center"/>
    </xf>
    <xf numFmtId="176" fontId="30" fillId="0" borderId="48" xfId="0" applyNumberFormat="1" applyFont="1" applyBorder="1" applyAlignment="1" applyProtection="1">
      <alignment horizontal="center"/>
    </xf>
    <xf numFmtId="176" fontId="30" fillId="0" borderId="43" xfId="0" applyNumberFormat="1" applyFont="1" applyBorder="1" applyAlignment="1" applyProtection="1">
      <alignment horizontal="center"/>
      <protection locked="0"/>
    </xf>
    <xf numFmtId="176" fontId="30" fillId="0" borderId="28" xfId="0" applyNumberFormat="1" applyFont="1" applyBorder="1" applyAlignment="1" applyProtection="1">
      <alignment horizontal="center"/>
      <protection locked="0"/>
    </xf>
    <xf numFmtId="176" fontId="30" fillId="0" borderId="48" xfId="0" applyNumberFormat="1" applyFont="1" applyBorder="1" applyAlignment="1" applyProtection="1">
      <alignment horizontal="center"/>
      <protection locked="0"/>
    </xf>
    <xf numFmtId="0" fontId="29" fillId="0" borderId="0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30" fillId="0" borderId="0" xfId="0" applyFont="1" applyBorder="1" applyAlignment="1" applyProtection="1">
      <alignment horizontal="right"/>
      <protection locked="0"/>
    </xf>
    <xf numFmtId="0" fontId="40" fillId="0" borderId="0" xfId="55" applyFont="1" applyAlignment="1">
      <alignment horizontal="center" vertical="center"/>
    </xf>
    <xf numFmtId="0" fontId="30" fillId="0" borderId="0" xfId="55" applyFont="1" applyAlignment="1">
      <alignment horizontal="center" vertical="center" wrapText="1"/>
    </xf>
    <xf numFmtId="0" fontId="52" fillId="0" borderId="16" xfId="0" applyFont="1" applyBorder="1" applyAlignment="1">
      <alignment horizontal="center" vertical="center" wrapText="1"/>
    </xf>
    <xf numFmtId="0" fontId="52" fillId="0" borderId="18" xfId="0" applyFont="1" applyBorder="1" applyAlignment="1">
      <alignment horizontal="center" vertical="center" wrapText="1"/>
    </xf>
    <xf numFmtId="0" fontId="52" fillId="0" borderId="13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3" xfId="307" applyFont="1" applyBorder="1" applyAlignment="1">
      <alignment horizontal="left"/>
    </xf>
    <xf numFmtId="0" fontId="6" fillId="0" borderId="13" xfId="307" applyBorder="1" applyAlignment="1">
      <alignment horizontal="left"/>
    </xf>
    <xf numFmtId="1" fontId="6" fillId="0" borderId="12" xfId="307" applyNumberFormat="1" applyBorder="1" applyAlignment="1">
      <alignment horizontal="center"/>
    </xf>
    <xf numFmtId="1" fontId="6" fillId="0" borderId="14" xfId="307" applyNumberFormat="1" applyBorder="1" applyAlignment="1">
      <alignment horizontal="center"/>
    </xf>
    <xf numFmtId="1" fontId="6" fillId="0" borderId="20" xfId="307" applyNumberFormat="1" applyBorder="1" applyAlignment="1">
      <alignment horizontal="center"/>
    </xf>
    <xf numFmtId="1" fontId="6" fillId="0" borderId="13" xfId="307" applyNumberFormat="1" applyBorder="1" applyAlignment="1">
      <alignment horizontal="center"/>
    </xf>
    <xf numFmtId="0" fontId="57" fillId="0" borderId="0" xfId="0" applyFont="1" applyFill="1" applyBorder="1" applyAlignment="1">
      <alignment horizontal="center" wrapText="1"/>
    </xf>
    <xf numFmtId="0" fontId="57" fillId="0" borderId="0" xfId="0" applyFont="1" applyFill="1" applyBorder="1" applyAlignment="1">
      <alignment horizontal="center" vertical="center" wrapText="1"/>
    </xf>
    <xf numFmtId="0" fontId="52" fillId="0" borderId="0" xfId="307" applyFont="1" applyBorder="1" applyAlignment="1">
      <alignment horizontal="center" vertical="center"/>
    </xf>
    <xf numFmtId="0" fontId="52" fillId="0" borderId="19" xfId="307" applyFont="1" applyBorder="1" applyAlignment="1">
      <alignment horizontal="center" vertical="center"/>
    </xf>
    <xf numFmtId="0" fontId="60" fillId="0" borderId="12" xfId="307" applyFont="1" applyFill="1" applyBorder="1" applyAlignment="1">
      <alignment horizontal="center" vertical="center"/>
    </xf>
    <xf numFmtId="0" fontId="60" fillId="0" borderId="14" xfId="307" applyFont="1" applyFill="1" applyBorder="1" applyAlignment="1">
      <alignment horizontal="center" vertical="center"/>
    </xf>
    <xf numFmtId="0" fontId="60" fillId="0" borderId="20" xfId="307" applyFont="1" applyFill="1" applyBorder="1" applyAlignment="1">
      <alignment horizontal="center" vertical="center"/>
    </xf>
    <xf numFmtId="0" fontId="52" fillId="0" borderId="16" xfId="307" applyFont="1" applyFill="1" applyBorder="1" applyAlignment="1">
      <alignment horizontal="center" vertical="center"/>
    </xf>
    <xf numFmtId="0" fontId="52" fillId="0" borderId="18" xfId="307" applyFont="1" applyFill="1" applyBorder="1" applyAlignment="1">
      <alignment horizontal="center" vertical="center"/>
    </xf>
    <xf numFmtId="0" fontId="60" fillId="0" borderId="16" xfId="307" applyFont="1" applyFill="1" applyBorder="1" applyAlignment="1">
      <alignment horizontal="center" vertical="center"/>
    </xf>
    <xf numFmtId="0" fontId="60" fillId="0" borderId="18" xfId="307" applyFont="1" applyFill="1" applyBorder="1" applyAlignment="1">
      <alignment horizontal="center" vertical="center"/>
    </xf>
    <xf numFmtId="0" fontId="6" fillId="0" borderId="13" xfId="307" applyBorder="1" applyAlignment="1">
      <alignment horizontal="center"/>
    </xf>
    <xf numFmtId="0" fontId="52" fillId="56" borderId="12" xfId="307" applyFont="1" applyFill="1" applyBorder="1" applyAlignment="1">
      <alignment horizontal="center"/>
    </xf>
    <xf numFmtId="0" fontId="52" fillId="56" borderId="20" xfId="307" applyFont="1" applyFill="1" applyBorder="1" applyAlignment="1">
      <alignment horizontal="center"/>
    </xf>
    <xf numFmtId="0" fontId="6" fillId="46" borderId="13" xfId="307" applyFill="1" applyBorder="1" applyAlignment="1">
      <alignment horizontal="center"/>
    </xf>
    <xf numFmtId="0" fontId="5" fillId="46" borderId="13" xfId="307" applyNumberFormat="1" applyFont="1" applyFill="1" applyBorder="1" applyAlignment="1">
      <alignment horizontal="center"/>
    </xf>
    <xf numFmtId="0" fontId="6" fillId="46" borderId="13" xfId="307" applyNumberFormat="1" applyFill="1" applyBorder="1" applyAlignment="1">
      <alignment horizontal="center"/>
    </xf>
    <xf numFmtId="0" fontId="6" fillId="0" borderId="0" xfId="307" applyBorder="1"/>
    <xf numFmtId="1" fontId="6" fillId="43" borderId="13" xfId="307" applyNumberFormat="1" applyFill="1" applyBorder="1" applyAlignment="1">
      <alignment horizontal="center"/>
    </xf>
    <xf numFmtId="0" fontId="6" fillId="0" borderId="18" xfId="307" applyBorder="1" applyAlignment="1">
      <alignment horizontal="left"/>
    </xf>
    <xf numFmtId="1" fontId="3" fillId="43" borderId="13" xfId="307" applyNumberFormat="1" applyFont="1" applyFill="1" applyBorder="1" applyAlignment="1">
      <alignment horizontal="center"/>
    </xf>
    <xf numFmtId="0" fontId="30" fillId="68" borderId="13" xfId="0" applyFont="1" applyFill="1" applyBorder="1" applyAlignment="1">
      <alignment horizontal="center" vertical="center"/>
    </xf>
    <xf numFmtId="0" fontId="30" fillId="68" borderId="13" xfId="0" applyFont="1" applyFill="1" applyBorder="1" applyAlignment="1">
      <alignment horizontal="center" vertical="center" wrapText="1"/>
    </xf>
    <xf numFmtId="0" fontId="7" fillId="0" borderId="13" xfId="77" applyBorder="1" applyAlignment="1">
      <alignment horizontal="center" vertical="center"/>
    </xf>
    <xf numFmtId="0" fontId="7" fillId="0" borderId="13" xfId="77" applyNumberFormat="1" applyBorder="1" applyAlignment="1">
      <alignment horizontal="center" vertical="center" textRotation="45"/>
    </xf>
    <xf numFmtId="0" fontId="7" fillId="0" borderId="16" xfId="77" applyFont="1" applyBorder="1" applyAlignment="1">
      <alignment horizontal="center" vertical="center"/>
    </xf>
    <xf numFmtId="0" fontId="7" fillId="0" borderId="18" xfId="77" applyBorder="1" applyAlignment="1">
      <alignment horizontal="center" vertical="center"/>
    </xf>
    <xf numFmtId="0" fontId="7" fillId="0" borderId="13" xfId="77" applyFont="1" applyBorder="1" applyAlignment="1">
      <alignment horizontal="center" vertical="center"/>
    </xf>
    <xf numFmtId="0" fontId="7" fillId="28" borderId="13" xfId="77" applyFill="1" applyBorder="1" applyAlignment="1">
      <alignment horizontal="center" vertical="center"/>
    </xf>
    <xf numFmtId="0" fontId="30" fillId="0" borderId="13" xfId="76" applyFont="1" applyFill="1" applyBorder="1" applyAlignment="1">
      <alignment horizontal="center" vertical="center" wrapText="1"/>
    </xf>
    <xf numFmtId="0" fontId="38" fillId="0" borderId="13" xfId="76" applyFont="1" applyFill="1" applyBorder="1" applyAlignment="1">
      <alignment horizontal="center" vertical="center" wrapText="1"/>
    </xf>
    <xf numFmtId="0" fontId="55" fillId="0" borderId="13" xfId="78" applyFont="1" applyBorder="1" applyAlignment="1">
      <alignment horizontal="center" textRotation="45"/>
    </xf>
    <xf numFmtId="0" fontId="53" fillId="35" borderId="0" xfId="76" applyFont="1" applyFill="1" applyBorder="1" applyAlignment="1">
      <alignment horizontal="center" vertical="center"/>
    </xf>
    <xf numFmtId="0" fontId="53" fillId="35" borderId="21" xfId="76" applyFont="1" applyFill="1" applyBorder="1" applyAlignment="1">
      <alignment horizontal="center" vertical="center"/>
    </xf>
    <xf numFmtId="0" fontId="54" fillId="33" borderId="13" xfId="78" applyFont="1" applyFill="1" applyBorder="1" applyAlignment="1">
      <alignment horizontal="center" vertical="center"/>
    </xf>
    <xf numFmtId="0" fontId="53" fillId="35" borderId="19" xfId="76" applyFont="1" applyFill="1" applyBorder="1" applyAlignment="1">
      <alignment horizontal="center" vertical="center"/>
    </xf>
    <xf numFmtId="0" fontId="53" fillId="35" borderId="60" xfId="76" applyFont="1" applyFill="1" applyBorder="1" applyAlignment="1">
      <alignment horizontal="center" vertical="center"/>
    </xf>
    <xf numFmtId="0" fontId="30" fillId="0" borderId="60" xfId="76" applyFont="1" applyBorder="1" applyAlignment="1">
      <alignment horizontal="center" vertical="center" wrapText="1"/>
    </xf>
    <xf numFmtId="0" fontId="30" fillId="0" borderId="20" xfId="76" applyFont="1" applyBorder="1" applyAlignment="1">
      <alignment horizontal="center" vertical="center" wrapText="1"/>
    </xf>
    <xf numFmtId="0" fontId="30" fillId="0" borderId="18" xfId="76" applyFont="1" applyFill="1" applyBorder="1" applyAlignment="1">
      <alignment horizontal="center" vertical="center" wrapText="1"/>
    </xf>
    <xf numFmtId="0" fontId="30" fillId="35" borderId="18" xfId="76" applyFont="1" applyFill="1" applyBorder="1" applyAlignment="1">
      <alignment horizontal="center" vertical="center" wrapText="1"/>
    </xf>
    <xf numFmtId="0" fontId="30" fillId="0" borderId="18" xfId="76" applyFont="1" applyBorder="1" applyAlignment="1">
      <alignment horizontal="center" vertical="center"/>
    </xf>
    <xf numFmtId="0" fontId="30" fillId="0" borderId="13" xfId="76" applyFont="1" applyBorder="1" applyAlignment="1">
      <alignment horizontal="center" vertical="center"/>
    </xf>
    <xf numFmtId="0" fontId="38" fillId="0" borderId="18" xfId="76" applyFont="1" applyFill="1" applyBorder="1" applyAlignment="1">
      <alignment horizontal="center" vertical="center" wrapText="1"/>
    </xf>
    <xf numFmtId="0" fontId="30" fillId="0" borderId="36" xfId="76" applyFont="1" applyFill="1" applyBorder="1" applyAlignment="1">
      <alignment horizontal="center" vertical="center" wrapText="1"/>
    </xf>
    <xf numFmtId="0" fontId="30" fillId="0" borderId="50" xfId="76" applyFont="1" applyFill="1" applyBorder="1" applyAlignment="1">
      <alignment horizontal="center" vertical="center" wrapText="1"/>
    </xf>
    <xf numFmtId="0" fontId="3" fillId="0" borderId="13" xfId="79" applyFont="1" applyBorder="1" applyAlignment="1">
      <alignment horizontal="center" vertical="center" wrapText="1"/>
    </xf>
    <xf numFmtId="0" fontId="10" fillId="0" borderId="13" xfId="79" applyBorder="1" applyAlignment="1">
      <alignment horizontal="center" vertical="center" wrapText="1"/>
    </xf>
    <xf numFmtId="0" fontId="4" fillId="0" borderId="13" xfId="79" applyFont="1" applyBorder="1" applyAlignment="1">
      <alignment horizontal="center" vertical="center"/>
    </xf>
    <xf numFmtId="0" fontId="4" fillId="0" borderId="12" xfId="79" applyFont="1" applyBorder="1" applyAlignment="1">
      <alignment horizontal="center"/>
    </xf>
    <xf numFmtId="0" fontId="4" fillId="0" borderId="20" xfId="79" applyFont="1" applyBorder="1" applyAlignment="1">
      <alignment horizontal="center"/>
    </xf>
    <xf numFmtId="0" fontId="4" fillId="0" borderId="16" xfId="79" applyFont="1" applyBorder="1" applyAlignment="1">
      <alignment horizontal="center" vertical="center" wrapText="1"/>
    </xf>
    <xf numFmtId="0" fontId="4" fillId="0" borderId="18" xfId="79" applyFont="1" applyBorder="1" applyAlignment="1">
      <alignment horizontal="center" vertical="center" wrapText="1"/>
    </xf>
    <xf numFmtId="0" fontId="29" fillId="0" borderId="0" xfId="79" applyFont="1" applyBorder="1" applyAlignment="1" applyProtection="1">
      <alignment horizontal="center"/>
    </xf>
    <xf numFmtId="0" fontId="30" fillId="0" borderId="0" xfId="79" applyFont="1" applyBorder="1" applyAlignment="1" applyProtection="1">
      <alignment horizontal="right"/>
    </xf>
    <xf numFmtId="0" fontId="29" fillId="0" borderId="39" xfId="79" applyFont="1" applyBorder="1" applyAlignment="1" applyProtection="1">
      <alignment horizontal="center"/>
    </xf>
    <xf numFmtId="0" fontId="29" fillId="0" borderId="40" xfId="79" applyFont="1" applyBorder="1" applyAlignment="1" applyProtection="1">
      <alignment horizontal="center"/>
    </xf>
    <xf numFmtId="0" fontId="29" fillId="0" borderId="31" xfId="79" applyFont="1" applyBorder="1" applyAlignment="1" applyProtection="1">
      <alignment horizontal="center"/>
    </xf>
    <xf numFmtId="0" fontId="10" fillId="0" borderId="42" xfId="79" applyBorder="1" applyAlignment="1" applyProtection="1"/>
    <xf numFmtId="0" fontId="10" fillId="0" borderId="38" xfId="79" applyBorder="1" applyAlignment="1" applyProtection="1"/>
    <xf numFmtId="0" fontId="10" fillId="0" borderId="47" xfId="79" applyBorder="1" applyAlignment="1" applyProtection="1"/>
    <xf numFmtId="0" fontId="30" fillId="0" borderId="45" xfId="79" applyFont="1" applyBorder="1" applyAlignment="1" applyProtection="1">
      <alignment horizontal="center" vertical="center"/>
    </xf>
    <xf numFmtId="0" fontId="10" fillId="0" borderId="35" xfId="79" applyBorder="1" applyAlignment="1" applyProtection="1">
      <alignment vertical="center"/>
    </xf>
    <xf numFmtId="0" fontId="30" fillId="0" borderId="30" xfId="79" applyFont="1" applyBorder="1" applyAlignment="1" applyProtection="1">
      <alignment horizontal="center" vertical="center"/>
    </xf>
    <xf numFmtId="0" fontId="10" fillId="0" borderId="36" xfId="79" applyBorder="1" applyAlignment="1" applyProtection="1">
      <alignment vertical="center"/>
    </xf>
    <xf numFmtId="0" fontId="52" fillId="0" borderId="13" xfId="78" applyFont="1" applyFill="1" applyBorder="1" applyAlignment="1">
      <alignment horizontal="center" vertical="center"/>
    </xf>
    <xf numFmtId="0" fontId="30" fillId="0" borderId="62" xfId="79" applyFont="1" applyBorder="1" applyAlignment="1">
      <alignment horizontal="center" vertical="center" wrapText="1"/>
    </xf>
    <xf numFmtId="0" fontId="30" fillId="0" borderId="17" xfId="79" applyFont="1" applyBorder="1" applyAlignment="1">
      <alignment horizontal="center" vertical="center" wrapText="1"/>
    </xf>
    <xf numFmtId="0" fontId="30" fillId="0" borderId="79" xfId="79" applyFont="1" applyBorder="1" applyAlignment="1">
      <alignment horizontal="center" vertical="center" wrapText="1"/>
    </xf>
    <xf numFmtId="0" fontId="10" fillId="0" borderId="64" xfId="79" applyBorder="1" applyAlignment="1">
      <alignment vertical="center" wrapText="1"/>
    </xf>
    <xf numFmtId="0" fontId="10" fillId="0" borderId="19" xfId="79" applyBorder="1" applyAlignment="1">
      <alignment vertical="center" wrapText="1"/>
    </xf>
    <xf numFmtId="0" fontId="10" fillId="0" borderId="60" xfId="79" applyBorder="1" applyAlignment="1">
      <alignment vertical="center" wrapText="1"/>
    </xf>
    <xf numFmtId="0" fontId="29" fillId="0" borderId="0" xfId="79" applyFont="1" applyBorder="1" applyAlignment="1">
      <alignment horizontal="center"/>
    </xf>
    <xf numFmtId="0" fontId="30" fillId="0" borderId="0" xfId="79" applyFont="1" applyBorder="1" applyAlignment="1">
      <alignment horizontal="right"/>
    </xf>
    <xf numFmtId="0" fontId="30" fillId="25" borderId="39" xfId="79" applyFont="1" applyFill="1" applyBorder="1" applyAlignment="1">
      <alignment horizontal="center" vertical="center"/>
    </xf>
    <xf numFmtId="0" fontId="30" fillId="25" borderId="40" xfId="79" applyFont="1" applyFill="1" applyBorder="1" applyAlignment="1">
      <alignment horizontal="center" vertical="center"/>
    </xf>
    <xf numFmtId="0" fontId="30" fillId="25" borderId="31" xfId="79" applyFont="1" applyFill="1" applyBorder="1" applyAlignment="1">
      <alignment horizontal="center" vertical="center"/>
    </xf>
    <xf numFmtId="0" fontId="10" fillId="0" borderId="42" xfId="79" applyBorder="1" applyAlignment="1">
      <alignment vertical="center"/>
    </xf>
    <xf numFmtId="0" fontId="10" fillId="0" borderId="38" xfId="79" applyBorder="1" applyAlignment="1">
      <alignment vertical="center"/>
    </xf>
    <xf numFmtId="0" fontId="10" fillId="0" borderId="47" xfId="79" applyBorder="1" applyAlignment="1">
      <alignment vertical="center"/>
    </xf>
    <xf numFmtId="0" fontId="30" fillId="25" borderId="39" xfId="79" applyFont="1" applyFill="1" applyBorder="1" applyAlignment="1">
      <alignment horizontal="center" vertical="center" wrapText="1"/>
    </xf>
    <xf numFmtId="0" fontId="30" fillId="25" borderId="40" xfId="79" applyFont="1" applyFill="1" applyBorder="1" applyAlignment="1">
      <alignment horizontal="center" vertical="center" wrapText="1"/>
    </xf>
    <xf numFmtId="0" fontId="30" fillId="25" borderId="31" xfId="79" applyFont="1" applyFill="1" applyBorder="1" applyAlignment="1">
      <alignment horizontal="center" vertical="center" wrapText="1"/>
    </xf>
    <xf numFmtId="0" fontId="10" fillId="0" borderId="42" xfId="79" applyBorder="1" applyAlignment="1">
      <alignment vertical="center" wrapText="1"/>
    </xf>
    <xf numFmtId="0" fontId="10" fillId="0" borderId="38" xfId="79" applyBorder="1" applyAlignment="1">
      <alignment vertical="center" wrapText="1"/>
    </xf>
    <xf numFmtId="0" fontId="10" fillId="0" borderId="47" xfId="79" applyBorder="1" applyAlignment="1">
      <alignment vertical="center" wrapText="1"/>
    </xf>
    <xf numFmtId="0" fontId="30" fillId="0" borderId="29" xfId="79" applyFont="1" applyBorder="1" applyAlignment="1">
      <alignment horizontal="center" vertical="center" wrapText="1"/>
    </xf>
    <xf numFmtId="0" fontId="30" fillId="0" borderId="40" xfId="79" applyFont="1" applyBorder="1" applyAlignment="1">
      <alignment horizontal="center" vertical="center" wrapText="1"/>
    </xf>
    <xf numFmtId="0" fontId="30" fillId="0" borderId="58" xfId="79" applyFont="1" applyBorder="1" applyAlignment="1">
      <alignment horizontal="center" vertical="center" wrapText="1"/>
    </xf>
    <xf numFmtId="0" fontId="30" fillId="0" borderId="64" xfId="79" applyFont="1" applyBorder="1" applyAlignment="1">
      <alignment horizontal="center" vertical="center" wrapText="1"/>
    </xf>
    <xf numFmtId="0" fontId="30" fillId="0" borderId="19" xfId="79" applyFont="1" applyBorder="1" applyAlignment="1">
      <alignment horizontal="center" vertical="center" wrapText="1"/>
    </xf>
    <xf numFmtId="0" fontId="30" fillId="0" borderId="60" xfId="79" applyFont="1" applyBorder="1" applyAlignment="1">
      <alignment horizontal="center" vertical="center" wrapText="1"/>
    </xf>
    <xf numFmtId="176" fontId="30" fillId="0" borderId="43" xfId="79" applyNumberFormat="1" applyFont="1" applyBorder="1" applyAlignment="1" applyProtection="1">
      <alignment horizontal="center"/>
      <protection locked="0"/>
    </xf>
    <xf numFmtId="176" fontId="30" fillId="0" borderId="28" xfId="79" applyNumberFormat="1" applyFont="1" applyBorder="1" applyAlignment="1" applyProtection="1">
      <alignment horizontal="center"/>
      <protection locked="0"/>
    </xf>
    <xf numFmtId="176" fontId="30" fillId="0" borderId="48" xfId="79" applyNumberFormat="1" applyFont="1" applyBorder="1" applyAlignment="1" applyProtection="1">
      <alignment horizontal="center"/>
      <protection locked="0"/>
    </xf>
    <xf numFmtId="176" fontId="30" fillId="0" borderId="43" xfId="79" applyNumberFormat="1" applyFont="1" applyBorder="1" applyAlignment="1" applyProtection="1">
      <alignment horizontal="center"/>
    </xf>
    <xf numFmtId="176" fontId="30" fillId="0" borderId="28" xfId="79" applyNumberFormat="1" applyFont="1" applyBorder="1" applyAlignment="1" applyProtection="1">
      <alignment horizontal="center"/>
    </xf>
    <xf numFmtId="176" fontId="30" fillId="0" borderId="48" xfId="79" applyNumberFormat="1" applyFont="1" applyBorder="1" applyAlignment="1" applyProtection="1">
      <alignment horizontal="center"/>
    </xf>
    <xf numFmtId="0" fontId="4" fillId="0" borderId="12" xfId="79" applyFont="1" applyBorder="1" applyAlignment="1" applyProtection="1">
      <alignment horizontal="center"/>
      <protection locked="0"/>
    </xf>
    <xf numFmtId="0" fontId="4" fillId="0" borderId="20" xfId="79" applyFont="1" applyBorder="1" applyAlignment="1" applyProtection="1">
      <alignment horizontal="center"/>
      <protection locked="0"/>
    </xf>
    <xf numFmtId="0" fontId="3" fillId="0" borderId="13" xfId="79" applyFont="1" applyBorder="1" applyAlignment="1" applyProtection="1">
      <alignment horizontal="center" vertical="center" wrapText="1"/>
      <protection locked="0"/>
    </xf>
    <xf numFmtId="0" fontId="10" fillId="0" borderId="13" xfId="79" applyBorder="1" applyAlignment="1" applyProtection="1">
      <alignment horizontal="center" vertical="center" wrapText="1"/>
      <protection locked="0"/>
    </xf>
    <xf numFmtId="0" fontId="4" fillId="0" borderId="13" xfId="79" applyFont="1" applyBorder="1" applyAlignment="1" applyProtection="1">
      <alignment horizontal="center" vertical="center"/>
      <protection locked="0"/>
    </xf>
    <xf numFmtId="0" fontId="29" fillId="0" borderId="0" xfId="79" applyFont="1" applyBorder="1" applyAlignment="1" applyProtection="1">
      <alignment horizontal="center"/>
      <protection locked="0"/>
    </xf>
    <xf numFmtId="0" fontId="10" fillId="0" borderId="0" xfId="79" applyAlignment="1" applyProtection="1">
      <alignment horizontal="center"/>
      <protection locked="0"/>
    </xf>
    <xf numFmtId="0" fontId="10" fillId="0" borderId="0" xfId="79" applyBorder="1" applyAlignment="1" applyProtection="1">
      <alignment horizontal="center"/>
      <protection locked="0"/>
    </xf>
    <xf numFmtId="0" fontId="30" fillId="0" borderId="0" xfId="79" applyFont="1" applyBorder="1" applyAlignment="1" applyProtection="1">
      <alignment horizontal="right"/>
      <protection locked="0"/>
    </xf>
    <xf numFmtId="0" fontId="4" fillId="0" borderId="16" xfId="79" applyFont="1" applyBorder="1" applyAlignment="1" applyProtection="1">
      <alignment horizontal="center" vertical="center" wrapText="1"/>
      <protection locked="0"/>
    </xf>
    <xf numFmtId="0" fontId="4" fillId="0" borderId="18" xfId="79" applyFont="1" applyBorder="1" applyAlignment="1" applyProtection="1">
      <alignment horizontal="center" vertical="center" wrapText="1"/>
      <protection locked="0"/>
    </xf>
  </cellXfs>
  <cellStyles count="310">
    <cellStyle name="20% - Accent1" xfId="82"/>
    <cellStyle name="20% - Accent2" xfId="83"/>
    <cellStyle name="20% - Accent3" xfId="84"/>
    <cellStyle name="20% - Accent4" xfId="85"/>
    <cellStyle name="20% - Accent5" xfId="86"/>
    <cellStyle name="20% - Accent6" xfId="87"/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Accent1" xfId="88"/>
    <cellStyle name="40% - Accent2" xfId="89"/>
    <cellStyle name="40% - Accent3" xfId="90"/>
    <cellStyle name="40% - Accent4" xfId="91"/>
    <cellStyle name="40% - Accent5" xfId="92"/>
    <cellStyle name="40% - Accent6" xfId="93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Accent1" xfId="94"/>
    <cellStyle name="60% - Accent2" xfId="95"/>
    <cellStyle name="60% - Accent3" xfId="96"/>
    <cellStyle name="60% - Accent4" xfId="97"/>
    <cellStyle name="60% - Accent5" xfId="98"/>
    <cellStyle name="60% - Accent6" xfId="99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Accent1" xfId="100"/>
    <cellStyle name="Accent2" xfId="101"/>
    <cellStyle name="Accent3" xfId="102"/>
    <cellStyle name="Accent4" xfId="103"/>
    <cellStyle name="Accent5" xfId="104"/>
    <cellStyle name="Accent6" xfId="105"/>
    <cellStyle name="Bad" xfId="106"/>
    <cellStyle name="Buena" xfId="19" builtinId="26" customBuiltin="1"/>
    <cellStyle name="Calculation" xfId="107"/>
    <cellStyle name="Cálculo" xfId="20" builtinId="22" customBuiltin="1"/>
    <cellStyle name="Celda de comprobación" xfId="21" builtinId="23" customBuiltin="1"/>
    <cellStyle name="Celda vinculada" xfId="22" builtinId="24" customBuiltin="1"/>
    <cellStyle name="Check Cell" xfId="108"/>
    <cellStyle name="Encabezado 1" xfId="7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/>
    <cellStyle name="Explanatory Text" xfId="109"/>
    <cellStyle name="Good" xfId="110"/>
    <cellStyle name="Heading 1" xfId="111"/>
    <cellStyle name="Heading 2" xfId="112"/>
    <cellStyle name="Heading 3" xfId="113"/>
    <cellStyle name="Heading 4" xfId="114"/>
    <cellStyle name="Incorrecto" xfId="32" builtinId="27" customBuiltin="1"/>
    <cellStyle name="Input" xfId="115"/>
    <cellStyle name="Linked Cell" xfId="116"/>
    <cellStyle name="Millares" xfId="33" builtinId="3"/>
    <cellStyle name="Millares 2" xfId="34"/>
    <cellStyle name="Millares 2 2" xfId="35"/>
    <cellStyle name="Millares 2 3" xfId="117"/>
    <cellStyle name="Millares 2 3 2" xfId="118"/>
    <cellStyle name="Millares 2 4" xfId="119"/>
    <cellStyle name="Millares 2 5" xfId="120"/>
    <cellStyle name="Millares 3" xfId="36"/>
    <cellStyle name="Millares 3 2" xfId="37"/>
    <cellStyle name="Millares 3 2 2" xfId="38"/>
    <cellStyle name="Millares 3 2 3" xfId="39"/>
    <cellStyle name="Millares 4" xfId="40"/>
    <cellStyle name="Millares 5" xfId="41"/>
    <cellStyle name="Millares 6" xfId="42"/>
    <cellStyle name="Moneda" xfId="43" builtinId="4"/>
    <cellStyle name="Moneda [0] 2" xfId="44"/>
    <cellStyle name="Moneda [0] 2 2" xfId="45"/>
    <cellStyle name="Moneda [0] 2_PRESUPUESTO ACUEDUCTO MPIO SAN ALBERTO - AGOSTO 2008" xfId="46"/>
    <cellStyle name="Moneda [0] 3" xfId="47"/>
    <cellStyle name="Moneda 2" xfId="48"/>
    <cellStyle name="Moneda 2 2" xfId="49"/>
    <cellStyle name="Moneda 2 2 2" xfId="121"/>
    <cellStyle name="Moneda 2_PRESUPUESTO ACUEDUCTO MPIO SAN ALBERTO - AGOSTO 2008" xfId="50"/>
    <cellStyle name="Moneda 3" xfId="51"/>
    <cellStyle name="Moneda 4" xfId="52"/>
    <cellStyle name="Moneda_Ppto Acueducto LA PAZ Gob Cesar" xfId="53"/>
    <cellStyle name="Neutral" xfId="54" builtinId="28" customBuiltin="1"/>
    <cellStyle name="Normal" xfId="0" builtinId="0"/>
    <cellStyle name="Normal 10" xfId="122"/>
    <cellStyle name="Normal 11" xfId="123"/>
    <cellStyle name="Normal 12" xfId="124"/>
    <cellStyle name="Normal 13" xfId="125"/>
    <cellStyle name="Normal 14" xfId="126"/>
    <cellStyle name="Normal 15" xfId="79"/>
    <cellStyle name="Normal 16" xfId="127"/>
    <cellStyle name="Normal 17" xfId="128"/>
    <cellStyle name="Normal 18" xfId="129"/>
    <cellStyle name="Normal 19" xfId="307"/>
    <cellStyle name="Normal 2" xfId="55"/>
    <cellStyle name="Normal 2 2" xfId="76"/>
    <cellStyle name="Normal 2 3" xfId="130"/>
    <cellStyle name="Normal 2 4" xfId="131"/>
    <cellStyle name="Normal 2 5" xfId="132"/>
    <cellStyle name="Normal 20" xfId="133"/>
    <cellStyle name="Normal 21" xfId="308"/>
    <cellStyle name="Normal 3" xfId="56"/>
    <cellStyle name="Normal 3 10" xfId="134"/>
    <cellStyle name="Normal 3 10 2" xfId="135"/>
    <cellStyle name="Normal 3 10 3" xfId="136"/>
    <cellStyle name="Normal 3 10 4" xfId="137"/>
    <cellStyle name="Normal 3 10 5" xfId="138"/>
    <cellStyle name="Normal 3 10 6" xfId="139"/>
    <cellStyle name="Normal 3 10 7" xfId="140"/>
    <cellStyle name="Normal 3 10 8" xfId="141"/>
    <cellStyle name="Normal 3 11" xfId="142"/>
    <cellStyle name="Normal 3 11 2" xfId="143"/>
    <cellStyle name="Normal 3 11 3" xfId="144"/>
    <cellStyle name="Normal 3 11 4" xfId="145"/>
    <cellStyle name="Normal 3 11 5" xfId="146"/>
    <cellStyle name="Normal 3 11 6" xfId="147"/>
    <cellStyle name="Normal 3 11 7" xfId="148"/>
    <cellStyle name="Normal 3 11 8" xfId="149"/>
    <cellStyle name="Normal 3 12" xfId="150"/>
    <cellStyle name="Normal 3 12 2" xfId="151"/>
    <cellStyle name="Normal 3 12 3" xfId="152"/>
    <cellStyle name="Normal 3 12 4" xfId="153"/>
    <cellStyle name="Normal 3 12 5" xfId="154"/>
    <cellStyle name="Normal 3 12 6" xfId="155"/>
    <cellStyle name="Normal 3 12 7" xfId="156"/>
    <cellStyle name="Normal 3 12 8" xfId="157"/>
    <cellStyle name="Normal 3 13" xfId="158"/>
    <cellStyle name="Normal 3 13 2" xfId="159"/>
    <cellStyle name="Normal 3 13 3" xfId="160"/>
    <cellStyle name="Normal 3 13 4" xfId="161"/>
    <cellStyle name="Normal 3 13 5" xfId="162"/>
    <cellStyle name="Normal 3 13 6" xfId="163"/>
    <cellStyle name="Normal 3 13 7" xfId="164"/>
    <cellStyle name="Normal 3 13 8" xfId="165"/>
    <cellStyle name="Normal 3 14" xfId="166"/>
    <cellStyle name="Normal 3 14 2" xfId="167"/>
    <cellStyle name="Normal 3 14 3" xfId="168"/>
    <cellStyle name="Normal 3 14 4" xfId="169"/>
    <cellStyle name="Normal 3 14 5" xfId="170"/>
    <cellStyle name="Normal 3 14 6" xfId="171"/>
    <cellStyle name="Normal 3 14 7" xfId="172"/>
    <cellStyle name="Normal 3 14 8" xfId="173"/>
    <cellStyle name="Normal 3 15" xfId="174"/>
    <cellStyle name="Normal 3 15 2" xfId="175"/>
    <cellStyle name="Normal 3 15 3" xfId="176"/>
    <cellStyle name="Normal 3 15 4" xfId="177"/>
    <cellStyle name="Normal 3 15 5" xfId="178"/>
    <cellStyle name="Normal 3 15 6" xfId="179"/>
    <cellStyle name="Normal 3 15 7" xfId="180"/>
    <cellStyle name="Normal 3 15 8" xfId="181"/>
    <cellStyle name="Normal 3 16" xfId="182"/>
    <cellStyle name="Normal 3 16 2" xfId="183"/>
    <cellStyle name="Normal 3 16 3" xfId="184"/>
    <cellStyle name="Normal 3 16 4" xfId="185"/>
    <cellStyle name="Normal 3 16 5" xfId="186"/>
    <cellStyle name="Normal 3 16 6" xfId="187"/>
    <cellStyle name="Normal 3 16 7" xfId="188"/>
    <cellStyle name="Normal 3 16 8" xfId="189"/>
    <cellStyle name="Normal 3 17" xfId="190"/>
    <cellStyle name="Normal 3 17 2" xfId="191"/>
    <cellStyle name="Normal 3 17 3" xfId="192"/>
    <cellStyle name="Normal 3 17 4" xfId="193"/>
    <cellStyle name="Normal 3 17 5" xfId="194"/>
    <cellStyle name="Normal 3 17 6" xfId="195"/>
    <cellStyle name="Normal 3 17 7" xfId="196"/>
    <cellStyle name="Normal 3 17 8" xfId="197"/>
    <cellStyle name="Normal 3 18" xfId="198"/>
    <cellStyle name="Normal 3 18 2" xfId="199"/>
    <cellStyle name="Normal 3 18 3" xfId="200"/>
    <cellStyle name="Normal 3 18 4" xfId="201"/>
    <cellStyle name="Normal 3 18 5" xfId="202"/>
    <cellStyle name="Normal 3 18 6" xfId="203"/>
    <cellStyle name="Normal 3 18 7" xfId="204"/>
    <cellStyle name="Normal 3 18 8" xfId="205"/>
    <cellStyle name="Normal 3 19" xfId="206"/>
    <cellStyle name="Normal 3 19 2" xfId="207"/>
    <cellStyle name="Normal 3 19 3" xfId="208"/>
    <cellStyle name="Normal 3 19 4" xfId="209"/>
    <cellStyle name="Normal 3 19 5" xfId="210"/>
    <cellStyle name="Normal 3 19 6" xfId="211"/>
    <cellStyle name="Normal 3 19 7" xfId="212"/>
    <cellStyle name="Normal 3 19 8" xfId="213"/>
    <cellStyle name="Normal 3 2" xfId="214"/>
    <cellStyle name="Normal 3 2 2" xfId="215"/>
    <cellStyle name="Normal 3 2 3" xfId="216"/>
    <cellStyle name="Normal 3 2 4" xfId="217"/>
    <cellStyle name="Normal 3 2 5" xfId="218"/>
    <cellStyle name="Normal 3 2 6" xfId="219"/>
    <cellStyle name="Normal 3 2 7" xfId="220"/>
    <cellStyle name="Normal 3 2 8" xfId="221"/>
    <cellStyle name="Normal 3 2 9" xfId="78"/>
    <cellStyle name="Normal 3 20" xfId="222"/>
    <cellStyle name="Normal 3 20 2" xfId="223"/>
    <cellStyle name="Normal 3 20 3" xfId="224"/>
    <cellStyle name="Normal 3 20 4" xfId="225"/>
    <cellStyle name="Normal 3 20 5" xfId="226"/>
    <cellStyle name="Normal 3 20 6" xfId="227"/>
    <cellStyle name="Normal 3 20 7" xfId="228"/>
    <cellStyle name="Normal 3 20 8" xfId="229"/>
    <cellStyle name="Normal 3 21" xfId="230"/>
    <cellStyle name="Normal 3 21 2" xfId="231"/>
    <cellStyle name="Normal 3 21 3" xfId="232"/>
    <cellStyle name="Normal 3 21 4" xfId="233"/>
    <cellStyle name="Normal 3 21 5" xfId="234"/>
    <cellStyle name="Normal 3 21 6" xfId="235"/>
    <cellStyle name="Normal 3 21 7" xfId="236"/>
    <cellStyle name="Normal 3 21 8" xfId="237"/>
    <cellStyle name="Normal 3 22" xfId="238"/>
    <cellStyle name="Normal 3 23" xfId="239"/>
    <cellStyle name="Normal 3 24" xfId="240"/>
    <cellStyle name="Normal 3 25" xfId="241"/>
    <cellStyle name="Normal 3 26" xfId="242"/>
    <cellStyle name="Normal 3 27" xfId="243"/>
    <cellStyle name="Normal 3 28" xfId="244"/>
    <cellStyle name="Normal 3 29" xfId="81"/>
    <cellStyle name="Normal 3 3" xfId="245"/>
    <cellStyle name="Normal 3 3 2" xfId="246"/>
    <cellStyle name="Normal 3 3 3" xfId="247"/>
    <cellStyle name="Normal 3 3 4" xfId="248"/>
    <cellStyle name="Normal 3 3 5" xfId="249"/>
    <cellStyle name="Normal 3 3 6" xfId="250"/>
    <cellStyle name="Normal 3 3 7" xfId="251"/>
    <cellStyle name="Normal 3 3 8" xfId="252"/>
    <cellStyle name="Normal 3 30" xfId="309"/>
    <cellStyle name="Normal 3 4" xfId="253"/>
    <cellStyle name="Normal 3 4 2" xfId="254"/>
    <cellStyle name="Normal 3 4 3" xfId="255"/>
    <cellStyle name="Normal 3 4 4" xfId="256"/>
    <cellStyle name="Normal 3 4 5" xfId="257"/>
    <cellStyle name="Normal 3 4 6" xfId="258"/>
    <cellStyle name="Normal 3 4 7" xfId="259"/>
    <cellStyle name="Normal 3 4 8" xfId="260"/>
    <cellStyle name="Normal 3 5" xfId="261"/>
    <cellStyle name="Normal 3 5 2" xfId="262"/>
    <cellStyle name="Normal 3 5 3" xfId="263"/>
    <cellStyle name="Normal 3 5 4" xfId="264"/>
    <cellStyle name="Normal 3 5 5" xfId="265"/>
    <cellStyle name="Normal 3 5 6" xfId="266"/>
    <cellStyle name="Normal 3 5 7" xfId="267"/>
    <cellStyle name="Normal 3 5 8" xfId="268"/>
    <cellStyle name="Normal 3 6" xfId="269"/>
    <cellStyle name="Normal 3 6 2" xfId="270"/>
    <cellStyle name="Normal 3 6 3" xfId="271"/>
    <cellStyle name="Normal 3 6 4" xfId="272"/>
    <cellStyle name="Normal 3 6 5" xfId="273"/>
    <cellStyle name="Normal 3 6 6" xfId="274"/>
    <cellStyle name="Normal 3 6 7" xfId="275"/>
    <cellStyle name="Normal 3 6 8" xfId="276"/>
    <cellStyle name="Normal 3 7" xfId="277"/>
    <cellStyle name="Normal 3 7 2" xfId="278"/>
    <cellStyle name="Normal 3 7 3" xfId="279"/>
    <cellStyle name="Normal 3 7 4" xfId="280"/>
    <cellStyle name="Normal 3 7 5" xfId="281"/>
    <cellStyle name="Normal 3 7 6" xfId="282"/>
    <cellStyle name="Normal 3 7 7" xfId="283"/>
    <cellStyle name="Normal 3 7 8" xfId="284"/>
    <cellStyle name="Normal 3 8" xfId="285"/>
    <cellStyle name="Normal 3 8 2" xfId="286"/>
    <cellStyle name="Normal 3 8 3" xfId="287"/>
    <cellStyle name="Normal 3 8 4" xfId="288"/>
    <cellStyle name="Normal 3 8 5" xfId="289"/>
    <cellStyle name="Normal 3 8 6" xfId="290"/>
    <cellStyle name="Normal 3 8 7" xfId="291"/>
    <cellStyle name="Normal 3 8 8" xfId="292"/>
    <cellStyle name="Normal 3 9" xfId="293"/>
    <cellStyle name="Normal 3 9 2" xfId="294"/>
    <cellStyle name="Normal 3 9 3" xfId="295"/>
    <cellStyle name="Normal 3 9 4" xfId="296"/>
    <cellStyle name="Normal 3 9 5" xfId="297"/>
    <cellStyle name="Normal 3 9 6" xfId="298"/>
    <cellStyle name="Normal 3 9 7" xfId="299"/>
    <cellStyle name="Normal 3 9 8" xfId="300"/>
    <cellStyle name="Normal 4" xfId="57"/>
    <cellStyle name="Normal 4 2" xfId="301"/>
    <cellStyle name="Normal 5" xfId="58"/>
    <cellStyle name="Normal 6" xfId="59"/>
    <cellStyle name="Normal 6 2" xfId="77"/>
    <cellStyle name="Normal 7" xfId="60"/>
    <cellStyle name="Normal 8" xfId="74"/>
    <cellStyle name="Normal 9" xfId="75"/>
    <cellStyle name="Notas" xfId="61" builtinId="10" customBuiltin="1"/>
    <cellStyle name="Note" xfId="302"/>
    <cellStyle name="Output" xfId="303"/>
    <cellStyle name="Porcentaje" xfId="62" builtinId="5"/>
    <cellStyle name="Porcentual 2" xfId="63"/>
    <cellStyle name="Porcentual 2 2" xfId="304"/>
    <cellStyle name="Porcentual 3" xfId="64"/>
    <cellStyle name="Porcentual 3 2" xfId="80"/>
    <cellStyle name="Porcentual 4" xfId="65"/>
    <cellStyle name="Salida" xfId="66" builtinId="21" customBuiltin="1"/>
    <cellStyle name="Texto de advertencia" xfId="67" builtinId="11" customBuiltin="1"/>
    <cellStyle name="Texto explicativo" xfId="68" builtinId="53" customBuiltin="1"/>
    <cellStyle name="Title" xfId="305"/>
    <cellStyle name="Título" xfId="69" builtinId="15" customBuiltin="1"/>
    <cellStyle name="Título 2" xfId="71" builtinId="17" customBuiltin="1"/>
    <cellStyle name="Título 3" xfId="72" builtinId="18" customBuiltin="1"/>
    <cellStyle name="Total" xfId="73" builtinId="25" customBuiltin="1"/>
    <cellStyle name="Warning Text" xfId="306"/>
  </cellStyles>
  <dxfs count="0"/>
  <tableStyles count="0" defaultTableStyle="TableStyleMedium9" defaultPivotStyle="PivotStyleLight16"/>
  <colors>
    <mruColors>
      <color rgb="FFCC6600"/>
      <color rgb="FFFFCC00"/>
      <color rgb="FFFFFF99"/>
      <color rgb="FF9900FF"/>
      <color rgb="FF006600"/>
      <color rgb="FF333300"/>
      <color rgb="FF990000"/>
      <color rgb="FF0033CC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990600</xdr:colOff>
      <xdr:row>0</xdr:row>
      <xdr:rowOff>695325</xdr:rowOff>
    </xdr:from>
    <xdr:to>
      <xdr:col>6</xdr:col>
      <xdr:colOff>762000</xdr:colOff>
      <xdr:row>0</xdr:row>
      <xdr:rowOff>914400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543050" y="695325"/>
          <a:ext cx="87249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41148" anchor="ctr" upright="1"/>
        <a:lstStyle/>
        <a:p>
          <a:pPr algn="ctr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EMPRESA DE OBRAS SANITARIAS DE CALDAS EMPOCALDAS S.A. E.S.P.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4629150</xdr:colOff>
          <xdr:row>0</xdr:row>
          <xdr:rowOff>38100</xdr:rowOff>
        </xdr:from>
        <xdr:to>
          <xdr:col>2</xdr:col>
          <xdr:colOff>476250</xdr:colOff>
          <xdr:row>0</xdr:row>
          <xdr:rowOff>666750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990600</xdr:colOff>
      <xdr:row>0</xdr:row>
      <xdr:rowOff>695325</xdr:rowOff>
    </xdr:from>
    <xdr:to>
      <xdr:col>6</xdr:col>
      <xdr:colOff>762000</xdr:colOff>
      <xdr:row>0</xdr:row>
      <xdr:rowOff>914400</xdr:rowOff>
    </xdr:to>
    <xdr:sp macro="" textlink="">
      <xdr:nvSpPr>
        <xdr:cNvPr id="3076" name="Text Box 2"/>
        <xdr:cNvSpPr txBox="1">
          <a:spLocks noChangeArrowheads="1"/>
        </xdr:cNvSpPr>
      </xdr:nvSpPr>
      <xdr:spPr bwMode="auto">
        <a:xfrm>
          <a:off x="1543050" y="695325"/>
          <a:ext cx="7496175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41148" anchor="ctr" upright="1"/>
        <a:lstStyle/>
        <a:p>
          <a:pPr algn="ctr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EMPRESA DE OBRAS SANITARIAS DE CALDAS EMPOCALDAS S.A. E.S.P.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4629150</xdr:colOff>
          <xdr:row>0</xdr:row>
          <xdr:rowOff>38100</xdr:rowOff>
        </xdr:from>
        <xdr:to>
          <xdr:col>2</xdr:col>
          <xdr:colOff>476250</xdr:colOff>
          <xdr:row>0</xdr:row>
          <xdr:rowOff>666750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581025</xdr:colOff>
      <xdr:row>31</xdr:row>
      <xdr:rowOff>95250</xdr:rowOff>
    </xdr:from>
    <xdr:to>
      <xdr:col>15</xdr:col>
      <xdr:colOff>1733550</xdr:colOff>
      <xdr:row>35</xdr:row>
      <xdr:rowOff>126206</xdr:rowOff>
    </xdr:to>
    <xdr:sp macro="" textlink="">
      <xdr:nvSpPr>
        <xdr:cNvPr id="4639" name="AutoShape 3"/>
        <xdr:cNvSpPr>
          <a:spLocks noChangeArrowheads="1"/>
        </xdr:cNvSpPr>
      </xdr:nvSpPr>
      <xdr:spPr bwMode="auto">
        <a:xfrm>
          <a:off x="11630025" y="6703219"/>
          <a:ext cx="1152525" cy="757237"/>
        </a:xfrm>
        <a:prstGeom prst="rightArrow">
          <a:avLst>
            <a:gd name="adj1" fmla="val 50000"/>
            <a:gd name="adj2" fmla="val 2500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581025</xdr:colOff>
      <xdr:row>40</xdr:row>
      <xdr:rowOff>142875</xdr:rowOff>
    </xdr:from>
    <xdr:to>
      <xdr:col>15</xdr:col>
      <xdr:colOff>1733550</xdr:colOff>
      <xdr:row>46</xdr:row>
      <xdr:rowOff>66675</xdr:rowOff>
    </xdr:to>
    <xdr:sp macro="" textlink="">
      <xdr:nvSpPr>
        <xdr:cNvPr id="2" name="AutoShape 3"/>
        <xdr:cNvSpPr>
          <a:spLocks noChangeArrowheads="1"/>
        </xdr:cNvSpPr>
      </xdr:nvSpPr>
      <xdr:spPr bwMode="auto">
        <a:xfrm>
          <a:off x="11630025" y="8982075"/>
          <a:ext cx="1152525" cy="952500"/>
        </a:xfrm>
        <a:prstGeom prst="rightArrow">
          <a:avLst>
            <a:gd name="adj1" fmla="val 50000"/>
            <a:gd name="adj2" fmla="val 2500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AP113"/>
  <sheetViews>
    <sheetView view="pageBreakPreview" topLeftCell="A42" zoomScale="70" zoomScaleNormal="40" zoomScaleSheetLayoutView="70" workbookViewId="0">
      <selection activeCell="L73" sqref="L73"/>
    </sheetView>
  </sheetViews>
  <sheetFormatPr baseColWidth="10" defaultRowHeight="12.75" x14ac:dyDescent="0.2"/>
  <cols>
    <col min="1" max="1" width="26.28515625" style="1092" customWidth="1"/>
    <col min="2" max="2" width="14.7109375" style="1092" customWidth="1"/>
    <col min="3" max="3" width="11.7109375" style="1092" customWidth="1"/>
    <col min="4" max="4" width="12" style="1092" customWidth="1"/>
    <col min="5" max="5" width="10.140625" style="1092" customWidth="1"/>
    <col min="6" max="6" width="11.42578125" style="1092"/>
    <col min="7" max="7" width="16.5703125" style="1092" customWidth="1"/>
    <col min="8" max="9" width="11.42578125" style="1092"/>
    <col min="10" max="10" width="12" style="1092" customWidth="1"/>
    <col min="11" max="16" width="11.42578125" style="1092"/>
    <col min="17" max="17" width="15.140625" style="1092" bestFit="1" customWidth="1"/>
    <col min="18" max="21" width="11.42578125" style="1092"/>
    <col min="22" max="22" width="13.7109375" style="1092" customWidth="1"/>
    <col min="23" max="26" width="11.42578125" style="1092"/>
    <col min="27" max="27" width="14.28515625" style="1092" customWidth="1"/>
    <col min="28" max="28" width="11.42578125" style="1092"/>
    <col min="29" max="29" width="14.5703125" style="1092" customWidth="1"/>
    <col min="30" max="30" width="15.28515625" style="1092" customWidth="1"/>
    <col min="31" max="31" width="13" style="1092" customWidth="1"/>
    <col min="32" max="32" width="13.5703125" style="1092" customWidth="1"/>
    <col min="33" max="33" width="15.5703125" style="1092" customWidth="1"/>
    <col min="34" max="34" width="13.28515625" style="1092" customWidth="1"/>
    <col min="35" max="35" width="15.140625" style="1092" bestFit="1" customWidth="1"/>
    <col min="36" max="36" width="11.5703125" style="1092" bestFit="1" customWidth="1"/>
    <col min="37" max="37" width="13.42578125" style="1092" customWidth="1"/>
    <col min="38" max="38" width="13.5703125" style="1092" customWidth="1"/>
    <col min="39" max="39" width="13.28515625" style="1092" customWidth="1"/>
    <col min="40" max="40" width="11.42578125" style="1092"/>
    <col min="41" max="41" width="12.7109375" style="1092" customWidth="1"/>
    <col min="42" max="16384" width="11.42578125" style="1092"/>
  </cols>
  <sheetData>
    <row r="1" spans="1:42" ht="55.5" customHeight="1" x14ac:dyDescent="0.2">
      <c r="A1" s="1646" t="s">
        <v>2945</v>
      </c>
      <c r="B1" s="1646"/>
      <c r="C1" s="1646"/>
      <c r="D1" s="1646"/>
      <c r="E1" s="1646"/>
      <c r="F1" s="1646"/>
      <c r="G1" s="1646"/>
      <c r="H1" s="1646"/>
      <c r="I1" s="1646"/>
      <c r="J1" s="1646"/>
      <c r="K1" s="1646"/>
      <c r="L1" s="1646"/>
      <c r="M1" s="1646"/>
      <c r="N1" s="1646"/>
      <c r="O1" s="1646"/>
      <c r="P1" s="1646"/>
      <c r="Q1" s="1646"/>
      <c r="R1" s="1646"/>
      <c r="S1" s="1646"/>
      <c r="T1" s="1646"/>
      <c r="U1" s="1646"/>
      <c r="V1" s="1646"/>
      <c r="W1" s="1646"/>
      <c r="X1" s="1646"/>
      <c r="Y1" s="1646"/>
      <c r="Z1" s="1646"/>
      <c r="AA1" s="1646"/>
      <c r="AB1" s="1646"/>
      <c r="AC1" s="1646"/>
      <c r="AD1" s="1646"/>
      <c r="AE1" s="1646"/>
      <c r="AF1" s="1646"/>
      <c r="AG1" s="1646"/>
      <c r="AH1" s="1646"/>
      <c r="AI1" s="1646"/>
      <c r="AJ1" s="1646"/>
      <c r="AK1" s="1646"/>
      <c r="AL1" s="1646"/>
      <c r="AM1" s="1646"/>
      <c r="AN1" s="1646"/>
      <c r="AO1" s="1646"/>
      <c r="AP1" s="1646"/>
    </row>
    <row r="2" spans="1:42" ht="15.75" x14ac:dyDescent="0.25">
      <c r="H2" s="1655" t="s">
        <v>2778</v>
      </c>
      <c r="I2" s="1655"/>
      <c r="K2" s="1655" t="s">
        <v>2779</v>
      </c>
      <c r="L2" s="1655"/>
    </row>
    <row r="3" spans="1:42" ht="15.75" customHeight="1" x14ac:dyDescent="0.25">
      <c r="A3" s="1656" t="s">
        <v>2780</v>
      </c>
      <c r="B3" s="1656" t="s">
        <v>2781</v>
      </c>
      <c r="C3" s="1643" t="s">
        <v>2782</v>
      </c>
      <c r="D3" s="1643" t="s">
        <v>2910</v>
      </c>
      <c r="E3" s="1643" t="s">
        <v>2783</v>
      </c>
      <c r="F3" s="1643" t="s">
        <v>2784</v>
      </c>
      <c r="G3" s="1643" t="s">
        <v>2785</v>
      </c>
      <c r="H3" s="1645" t="s">
        <v>2786</v>
      </c>
      <c r="I3" s="1645"/>
      <c r="J3" s="1643" t="s">
        <v>2787</v>
      </c>
      <c r="K3" s="1645" t="s">
        <v>2786</v>
      </c>
      <c r="L3" s="1645"/>
      <c r="M3" s="1643" t="s">
        <v>2788</v>
      </c>
      <c r="N3" s="1643" t="s">
        <v>2789</v>
      </c>
      <c r="O3" s="1145"/>
      <c r="P3" s="1145"/>
      <c r="Q3" s="1145"/>
      <c r="R3" s="1145"/>
      <c r="S3" s="1643" t="s">
        <v>2790</v>
      </c>
      <c r="T3" s="1643" t="s">
        <v>2721</v>
      </c>
      <c r="U3" s="1643" t="s">
        <v>2791</v>
      </c>
      <c r="V3" s="1643" t="s">
        <v>2792</v>
      </c>
      <c r="W3" s="1643" t="s">
        <v>2793</v>
      </c>
      <c r="X3" s="1643" t="s">
        <v>2794</v>
      </c>
      <c r="Y3" s="1643" t="s">
        <v>2795</v>
      </c>
      <c r="Z3" s="1643" t="s">
        <v>2847</v>
      </c>
      <c r="AA3" s="1643" t="s">
        <v>2796</v>
      </c>
      <c r="AB3" s="1643" t="s">
        <v>2797</v>
      </c>
      <c r="AC3" s="1643" t="s">
        <v>2798</v>
      </c>
      <c r="AD3" s="1644" t="s">
        <v>2799</v>
      </c>
      <c r="AE3" s="1644" t="s">
        <v>2800</v>
      </c>
      <c r="AF3" s="1644" t="s">
        <v>2913</v>
      </c>
      <c r="AG3" s="1644" t="s">
        <v>2801</v>
      </c>
      <c r="AH3" s="1644" t="s">
        <v>2802</v>
      </c>
      <c r="AI3" s="1644" t="s">
        <v>2912</v>
      </c>
      <c r="AJ3" s="1644" t="s">
        <v>2911</v>
      </c>
      <c r="AK3" s="1644" t="s">
        <v>2803</v>
      </c>
      <c r="AL3" s="1643" t="s">
        <v>2804</v>
      </c>
      <c r="AM3" s="1643" t="s">
        <v>2805</v>
      </c>
      <c r="AN3" s="1643" t="s">
        <v>2806</v>
      </c>
      <c r="AO3" s="1643" t="s">
        <v>2807</v>
      </c>
      <c r="AP3" s="1643" t="s">
        <v>2808</v>
      </c>
    </row>
    <row r="4" spans="1:42" ht="87" customHeight="1" x14ac:dyDescent="0.25">
      <c r="A4" s="1656"/>
      <c r="B4" s="1656"/>
      <c r="C4" s="1643"/>
      <c r="D4" s="1643"/>
      <c r="E4" s="1643"/>
      <c r="F4" s="1643"/>
      <c r="G4" s="1643"/>
      <c r="H4" s="653" t="s">
        <v>2809</v>
      </c>
      <c r="I4" s="653" t="s">
        <v>2296</v>
      </c>
      <c r="J4" s="1643"/>
      <c r="K4" s="653" t="s">
        <v>2809</v>
      </c>
      <c r="L4" s="653" t="s">
        <v>2296</v>
      </c>
      <c r="M4" s="1643"/>
      <c r="N4" s="1643"/>
      <c r="O4" s="1145" t="s">
        <v>2830</v>
      </c>
      <c r="P4" s="1145" t="s">
        <v>2831</v>
      </c>
      <c r="Q4" s="1145" t="s">
        <v>2832</v>
      </c>
      <c r="R4" s="1145" t="s">
        <v>2833</v>
      </c>
      <c r="S4" s="1643"/>
      <c r="T4" s="1643"/>
      <c r="U4" s="1643"/>
      <c r="V4" s="1643"/>
      <c r="W4" s="1643"/>
      <c r="X4" s="1643"/>
      <c r="Y4" s="1643"/>
      <c r="Z4" s="1643"/>
      <c r="AA4" s="1643"/>
      <c r="AB4" s="1643"/>
      <c r="AC4" s="1643"/>
      <c r="AD4" s="1644"/>
      <c r="AE4" s="1644"/>
      <c r="AF4" s="1644"/>
      <c r="AG4" s="1644"/>
      <c r="AH4" s="1644"/>
      <c r="AI4" s="1644"/>
      <c r="AJ4" s="1644"/>
      <c r="AK4" s="1644"/>
      <c r="AL4" s="1643"/>
      <c r="AM4" s="1643"/>
      <c r="AN4" s="1643"/>
      <c r="AO4" s="1643"/>
      <c r="AP4" s="1643"/>
    </row>
    <row r="5" spans="1:42" s="1462" customFormat="1" ht="16.5" x14ac:dyDescent="0.3">
      <c r="A5" s="1445" t="s">
        <v>2921</v>
      </c>
      <c r="B5" s="1447" t="s">
        <v>2866</v>
      </c>
      <c r="C5" s="1448">
        <v>10</v>
      </c>
      <c r="D5" s="1449">
        <f>+C5*0.025</f>
        <v>0.25</v>
      </c>
      <c r="E5" s="1450">
        <v>66.599999999999994</v>
      </c>
      <c r="F5" s="1451">
        <f t="shared" ref="F5:F14" si="0">+VLOOKUP(C5,$A$50:$B$70,2)</f>
        <v>0.7</v>
      </c>
      <c r="G5" s="1452" t="s">
        <v>2810</v>
      </c>
      <c r="H5" s="1453">
        <v>728.69</v>
      </c>
      <c r="I5" s="1453">
        <v>727.7</v>
      </c>
      <c r="J5" s="1454">
        <f>+H5-I5</f>
        <v>0.99000000000000909</v>
      </c>
      <c r="K5" s="1455">
        <v>729.15</v>
      </c>
      <c r="L5" s="1455">
        <v>725.7</v>
      </c>
      <c r="M5" s="1454">
        <f>+K5-L5</f>
        <v>3.4499999999999318</v>
      </c>
      <c r="N5" s="1456">
        <f>+(J5+M5)/2</f>
        <v>2.2199999999999704</v>
      </c>
      <c r="O5" s="1456">
        <f>N5-2</f>
        <v>0.21999999999997044</v>
      </c>
      <c r="P5" s="1456">
        <f>N5-O5</f>
        <v>2</v>
      </c>
      <c r="Q5" s="1457">
        <f>P5*F5*E5</f>
        <v>93.239999999999981</v>
      </c>
      <c r="R5" s="1457">
        <f>O5*F5*E5</f>
        <v>10.256399999998621</v>
      </c>
      <c r="S5" s="1458">
        <f>+ROUND(E5*F5*N5,2)</f>
        <v>103.5</v>
      </c>
      <c r="T5" s="1451" t="s">
        <v>2811</v>
      </c>
      <c r="U5" s="1458">
        <f t="shared" ref="U5:U19" si="1">+ROUND(E5*N5*2,2)</f>
        <v>295.7</v>
      </c>
      <c r="V5" s="1651">
        <f>+J5+M5+J10+M10+M11+J13+J14+M14+J16+M17+M16+J17+J20+J21+J22+M23+J24+M30+M31+M32+M33+M34+M35+M36+M37+M38+M39+M40+J41+M41+J42+M42+J43+M43+J44+M44</f>
        <v>64.477999999999611</v>
      </c>
      <c r="W5" s="1651">
        <f>+ROUND((PI()*(1.5^2)/4)*V5,2)</f>
        <v>113.94</v>
      </c>
      <c r="X5" s="1458">
        <f>+ROUND((PI()*(D5^2/4)*E5),2)</f>
        <v>3.27</v>
      </c>
      <c r="Y5" s="1458">
        <f>+ROUND(E5*F5*0.15,2)</f>
        <v>6.99</v>
      </c>
      <c r="Z5" s="1458">
        <f>+ROUND(E5*F5*0.25,2)</f>
        <v>11.66</v>
      </c>
      <c r="AA5" s="1458">
        <f>+ROUND(E5*F5*0.18,2)</f>
        <v>8.39</v>
      </c>
      <c r="AB5" s="1458">
        <f>+S5-X5-Y5-Z5-AA5</f>
        <v>73.190000000000012</v>
      </c>
      <c r="AC5" s="1458">
        <f>+X5+Y5+Z5+AA5</f>
        <v>30.310000000000002</v>
      </c>
      <c r="AD5" s="1459">
        <f>+ROUND(E5/5,0)</f>
        <v>13</v>
      </c>
      <c r="AE5" s="1460">
        <f>+AD5*1.5*0.7*6</f>
        <v>81.899999999999991</v>
      </c>
      <c r="AF5" s="1460">
        <f>+AD5</f>
        <v>13</v>
      </c>
      <c r="AG5" s="1460">
        <f>+AD5*6*0.18*0.7</f>
        <v>9.8279999999999994</v>
      </c>
      <c r="AH5" s="1460">
        <f>+AD5*1*0.1</f>
        <v>1.3</v>
      </c>
      <c r="AI5" s="1452">
        <f>+AD5*0.6*6*0.05</f>
        <v>2.34</v>
      </c>
      <c r="AJ5" s="1452">
        <f>+AD5*0.6*6*0.15</f>
        <v>7.02</v>
      </c>
      <c r="AK5" s="1647">
        <v>38</v>
      </c>
      <c r="AL5" s="1461">
        <f>+ROUND(E5/4,0)</f>
        <v>17</v>
      </c>
      <c r="AM5" s="1460">
        <f t="shared" ref="AM5:AM26" si="2">+AL5*F5</f>
        <v>11.899999999999999</v>
      </c>
      <c r="AN5" s="1460">
        <f>+E5*2</f>
        <v>133.19999999999999</v>
      </c>
      <c r="AO5" s="1460">
        <f>+(AM5/0.3)*0.3*1.5</f>
        <v>17.849999999999998</v>
      </c>
      <c r="AP5" s="1460">
        <f>4*AM5*2.25</f>
        <v>107.1</v>
      </c>
    </row>
    <row r="6" spans="1:42" ht="16.5" x14ac:dyDescent="0.3">
      <c r="A6" s="1177"/>
      <c r="B6" s="1175" t="s">
        <v>2867</v>
      </c>
      <c r="C6" s="1173">
        <v>10</v>
      </c>
      <c r="D6" s="1183">
        <f t="shared" ref="D6:D44" si="3">+C6*0.025</f>
        <v>0.25</v>
      </c>
      <c r="E6" s="1176">
        <v>0</v>
      </c>
      <c r="F6" s="1104">
        <f t="shared" si="0"/>
        <v>0.7</v>
      </c>
      <c r="G6" s="1094" t="s">
        <v>2810</v>
      </c>
      <c r="H6" s="1095"/>
      <c r="I6" s="1095"/>
      <c r="J6" s="1110"/>
      <c r="K6" s="1093"/>
      <c r="L6" s="1093"/>
      <c r="M6" s="1110"/>
      <c r="N6" s="1109"/>
      <c r="O6" s="1109"/>
      <c r="P6" s="1109"/>
      <c r="Q6" s="1116"/>
      <c r="R6" s="1116"/>
      <c r="S6" s="1096"/>
      <c r="T6" s="1104"/>
      <c r="U6" s="1096"/>
      <c r="V6" s="1651"/>
      <c r="W6" s="1651"/>
      <c r="X6" s="1096"/>
      <c r="Y6" s="1096"/>
      <c r="Z6" s="1096"/>
      <c r="AA6" s="1096"/>
      <c r="AB6" s="1096"/>
      <c r="AC6" s="1096"/>
      <c r="AD6" s="1097"/>
      <c r="AE6" s="1111"/>
      <c r="AF6" s="1111"/>
      <c r="AG6" s="1111"/>
      <c r="AH6" s="1111"/>
      <c r="AI6" s="1115"/>
      <c r="AJ6" s="1115"/>
      <c r="AK6" s="1647"/>
      <c r="AL6" s="1114">
        <f t="shared" ref="AL6:AL19" si="4">+ROUND(E6/4,0)</f>
        <v>0</v>
      </c>
      <c r="AM6" s="1111">
        <f t="shared" si="2"/>
        <v>0</v>
      </c>
      <c r="AN6" s="1111">
        <f t="shared" ref="AN6:AN19" si="5">+E6*2</f>
        <v>0</v>
      </c>
      <c r="AO6" s="1111">
        <f t="shared" ref="AO6:AO19" si="6">+(AM6/0.3)*0.3*1.5</f>
        <v>0</v>
      </c>
      <c r="AP6" s="1111">
        <f t="shared" ref="AP6:AP19" si="7">4*AM6*2.25</f>
        <v>0</v>
      </c>
    </row>
    <row r="7" spans="1:42" ht="15.75" customHeight="1" x14ac:dyDescent="0.25">
      <c r="A7" s="1635"/>
      <c r="B7" s="1175" t="s">
        <v>2868</v>
      </c>
      <c r="C7" s="1173">
        <v>10</v>
      </c>
      <c r="D7" s="1183">
        <f t="shared" si="3"/>
        <v>0.25</v>
      </c>
      <c r="E7" s="1176">
        <v>0</v>
      </c>
      <c r="F7" s="1104">
        <f t="shared" si="0"/>
        <v>0.7</v>
      </c>
      <c r="G7" s="1094" t="s">
        <v>2810</v>
      </c>
      <c r="H7" s="1095"/>
      <c r="I7" s="1095"/>
      <c r="J7" s="1110"/>
      <c r="K7" s="1093"/>
      <c r="L7" s="1096"/>
      <c r="M7" s="1110"/>
      <c r="N7" s="1109"/>
      <c r="O7" s="1109"/>
      <c r="P7" s="1109"/>
      <c r="Q7" s="1116"/>
      <c r="R7" s="1116"/>
      <c r="S7" s="1096"/>
      <c r="T7" s="1104"/>
      <c r="U7" s="1096"/>
      <c r="V7" s="1651"/>
      <c r="W7" s="1651"/>
      <c r="X7" s="1096"/>
      <c r="Y7" s="1096"/>
      <c r="Z7" s="1096"/>
      <c r="AA7" s="1096"/>
      <c r="AB7" s="1096"/>
      <c r="AC7" s="1096"/>
      <c r="AD7" s="1097"/>
      <c r="AE7" s="1111"/>
      <c r="AF7" s="1111"/>
      <c r="AG7" s="1111"/>
      <c r="AH7" s="1111"/>
      <c r="AI7" s="1115"/>
      <c r="AJ7" s="1115"/>
      <c r="AK7" s="1647"/>
      <c r="AL7" s="1114">
        <f t="shared" si="4"/>
        <v>0</v>
      </c>
      <c r="AM7" s="1111">
        <f t="shared" si="2"/>
        <v>0</v>
      </c>
      <c r="AN7" s="1111">
        <f t="shared" si="5"/>
        <v>0</v>
      </c>
      <c r="AO7" s="1111">
        <f t="shared" si="6"/>
        <v>0</v>
      </c>
      <c r="AP7" s="1111">
        <f t="shared" si="7"/>
        <v>0</v>
      </c>
    </row>
    <row r="8" spans="1:42" ht="15.75" customHeight="1" x14ac:dyDescent="0.25">
      <c r="A8" s="1636"/>
      <c r="B8" s="1175" t="s">
        <v>2869</v>
      </c>
      <c r="C8" s="1173">
        <v>12</v>
      </c>
      <c r="D8" s="1183">
        <f t="shared" si="3"/>
        <v>0.30000000000000004</v>
      </c>
      <c r="E8" s="1176">
        <v>0</v>
      </c>
      <c r="F8" s="1104">
        <f t="shared" si="0"/>
        <v>0.7</v>
      </c>
      <c r="G8" s="1094" t="s">
        <v>2810</v>
      </c>
      <c r="H8" s="1095"/>
      <c r="I8" s="1095"/>
      <c r="J8" s="1110"/>
      <c r="K8" s="1093"/>
      <c r="L8" s="1093"/>
      <c r="M8" s="1110"/>
      <c r="N8" s="1109"/>
      <c r="O8" s="1109"/>
      <c r="P8" s="1109"/>
      <c r="Q8" s="1116"/>
      <c r="R8" s="1116"/>
      <c r="S8" s="1096"/>
      <c r="T8" s="1104"/>
      <c r="U8" s="1096"/>
      <c r="V8" s="1651"/>
      <c r="W8" s="1651"/>
      <c r="X8" s="1096"/>
      <c r="Y8" s="1096"/>
      <c r="Z8" s="1096"/>
      <c r="AA8" s="1096"/>
      <c r="AB8" s="1096"/>
      <c r="AC8" s="1096"/>
      <c r="AD8" s="1097"/>
      <c r="AE8" s="1111"/>
      <c r="AF8" s="1111"/>
      <c r="AG8" s="1111"/>
      <c r="AH8" s="1111"/>
      <c r="AI8" s="1115"/>
      <c r="AJ8" s="1115"/>
      <c r="AK8" s="1647"/>
      <c r="AL8" s="1114">
        <f t="shared" si="4"/>
        <v>0</v>
      </c>
      <c r="AM8" s="1111">
        <f t="shared" si="2"/>
        <v>0</v>
      </c>
      <c r="AN8" s="1111">
        <f t="shared" si="5"/>
        <v>0</v>
      </c>
      <c r="AO8" s="1111">
        <f t="shared" si="6"/>
        <v>0</v>
      </c>
      <c r="AP8" s="1111">
        <f t="shared" si="7"/>
        <v>0</v>
      </c>
    </row>
    <row r="9" spans="1:42" s="1462" customFormat="1" ht="15.75" customHeight="1" x14ac:dyDescent="0.25">
      <c r="A9" s="1446" t="s">
        <v>2922</v>
      </c>
      <c r="B9" s="1447" t="s">
        <v>2870</v>
      </c>
      <c r="C9" s="1448">
        <v>14</v>
      </c>
      <c r="D9" s="1449">
        <f t="shared" si="3"/>
        <v>0.35000000000000003</v>
      </c>
      <c r="E9" s="1450">
        <v>71.81</v>
      </c>
      <c r="F9" s="1451">
        <f t="shared" si="0"/>
        <v>0.8</v>
      </c>
      <c r="G9" s="1452" t="s">
        <v>2810</v>
      </c>
      <c r="H9" s="1463">
        <v>720.21600000000001</v>
      </c>
      <c r="I9" s="1463">
        <v>718.6</v>
      </c>
      <c r="J9" s="1454">
        <f t="shared" ref="J9:J44" si="8">+H9-I9</f>
        <v>1.6159999999999854</v>
      </c>
      <c r="K9" s="1464">
        <v>717.45</v>
      </c>
      <c r="L9" s="1464">
        <v>715.53399999999999</v>
      </c>
      <c r="M9" s="1454">
        <f t="shared" ref="M9:M44" si="9">+K9-L9</f>
        <v>1.9160000000000537</v>
      </c>
      <c r="N9" s="1456">
        <f t="shared" ref="N9:N44" si="10">+(J9+M9)/2</f>
        <v>1.7660000000000196</v>
      </c>
      <c r="O9" s="1456">
        <v>0</v>
      </c>
      <c r="P9" s="1456">
        <f t="shared" ref="P9:P19" si="11">N9-O9</f>
        <v>1.7660000000000196</v>
      </c>
      <c r="Q9" s="1457">
        <f t="shared" ref="Q9:Q19" si="12">P9*F9*E9</f>
        <v>101.45316800000114</v>
      </c>
      <c r="R9" s="1457">
        <f t="shared" ref="R9:R19" si="13">O9*F9*E9</f>
        <v>0</v>
      </c>
      <c r="S9" s="1458">
        <f t="shared" ref="S9:S14" si="14">+ROUND(E9*F9*N9,2)</f>
        <v>101.45</v>
      </c>
      <c r="T9" s="1451" t="s">
        <v>2811</v>
      </c>
      <c r="U9" s="1458">
        <f t="shared" si="1"/>
        <v>253.63</v>
      </c>
      <c r="V9" s="1651"/>
      <c r="W9" s="1651"/>
      <c r="X9" s="1458">
        <f t="shared" ref="X9:X44" si="15">+ROUND((PI()*(D9^2/4)*E9),2)</f>
        <v>6.91</v>
      </c>
      <c r="Y9" s="1458">
        <f t="shared" ref="Y9:Y19" si="16">+ROUND(E9*F9*0.15,2)</f>
        <v>8.6199999999999992</v>
      </c>
      <c r="Z9" s="1458">
        <f t="shared" ref="Z9:Z19" si="17">+ROUND(E9*F9*0.25,2)</f>
        <v>14.36</v>
      </c>
      <c r="AA9" s="1458">
        <f t="shared" ref="AA9:AA19" si="18">+ROUND(E9*F9*0.18,2)</f>
        <v>10.34</v>
      </c>
      <c r="AB9" s="1458">
        <f t="shared" ref="AB9:AB19" si="19">+S9-X9-Y9-Z9-AA9</f>
        <v>61.22</v>
      </c>
      <c r="AC9" s="1458">
        <f t="shared" ref="AC9:AC19" si="20">+X9+Y9+Z9+AA9</f>
        <v>40.230000000000004</v>
      </c>
      <c r="AD9" s="1459">
        <f t="shared" ref="AD9:AD16" si="21">+ROUND(E9/5*2,0)</f>
        <v>29</v>
      </c>
      <c r="AE9" s="1460">
        <f t="shared" ref="AE9:AE14" si="22">+AD9*1.5*0.7*6</f>
        <v>182.7</v>
      </c>
      <c r="AF9" s="1460">
        <f t="shared" ref="AF9:AF14" si="23">+AD9</f>
        <v>29</v>
      </c>
      <c r="AG9" s="1460">
        <f t="shared" ref="AG9:AG14" si="24">+AD9*6*0.18*0.7</f>
        <v>21.923999999999999</v>
      </c>
      <c r="AH9" s="1460">
        <f t="shared" ref="AH9:AH14" si="25">+AD9*1*0.1</f>
        <v>2.9000000000000004</v>
      </c>
      <c r="AI9" s="1452">
        <f t="shared" ref="AI9:AI44" si="26">+AD9*0.6*6*0.05</f>
        <v>5.22</v>
      </c>
      <c r="AJ9" s="1452">
        <f t="shared" ref="AJ9:AJ44" si="27">+AD9*0.6*6*0.15</f>
        <v>15.659999999999998</v>
      </c>
      <c r="AK9" s="1647"/>
      <c r="AL9" s="1461">
        <f t="shared" si="4"/>
        <v>18</v>
      </c>
      <c r="AM9" s="1460">
        <f t="shared" si="2"/>
        <v>14.4</v>
      </c>
      <c r="AN9" s="1460">
        <f t="shared" si="5"/>
        <v>143.62</v>
      </c>
      <c r="AO9" s="1460">
        <f t="shared" si="6"/>
        <v>21.599999999999998</v>
      </c>
      <c r="AP9" s="1460">
        <f t="shared" si="7"/>
        <v>129.6</v>
      </c>
    </row>
    <row r="10" spans="1:42" s="1462" customFormat="1" ht="15.75" customHeight="1" x14ac:dyDescent="0.25">
      <c r="A10" s="1465" t="s">
        <v>2923</v>
      </c>
      <c r="B10" s="1447" t="s">
        <v>2871</v>
      </c>
      <c r="C10" s="1448">
        <v>12</v>
      </c>
      <c r="D10" s="1449">
        <f t="shared" si="3"/>
        <v>0.30000000000000004</v>
      </c>
      <c r="E10" s="1450">
        <v>70.23</v>
      </c>
      <c r="F10" s="1451">
        <f t="shared" si="0"/>
        <v>0.7</v>
      </c>
      <c r="G10" s="1452" t="s">
        <v>2810</v>
      </c>
      <c r="H10" s="1463">
        <v>720.21</v>
      </c>
      <c r="I10" s="1463">
        <v>718.57</v>
      </c>
      <c r="J10" s="1454">
        <f t="shared" si="8"/>
        <v>1.6399999999999864</v>
      </c>
      <c r="K10" s="1455">
        <v>716.97799999999995</v>
      </c>
      <c r="L10" s="1455">
        <v>714.97900000000004</v>
      </c>
      <c r="M10" s="1454">
        <f t="shared" si="9"/>
        <v>1.99899999999991</v>
      </c>
      <c r="N10" s="1456">
        <f t="shared" si="10"/>
        <v>1.8194999999999482</v>
      </c>
      <c r="O10" s="1456">
        <v>0</v>
      </c>
      <c r="P10" s="1456">
        <f t="shared" si="11"/>
        <v>1.8194999999999482</v>
      </c>
      <c r="Q10" s="1457">
        <f t="shared" si="12"/>
        <v>89.448439499997448</v>
      </c>
      <c r="R10" s="1457">
        <f t="shared" si="13"/>
        <v>0</v>
      </c>
      <c r="S10" s="1458">
        <f t="shared" si="14"/>
        <v>89.45</v>
      </c>
      <c r="T10" s="1451" t="s">
        <v>2811</v>
      </c>
      <c r="U10" s="1458">
        <f t="shared" si="1"/>
        <v>255.57</v>
      </c>
      <c r="V10" s="1651"/>
      <c r="W10" s="1651"/>
      <c r="X10" s="1458">
        <f t="shared" si="15"/>
        <v>4.96</v>
      </c>
      <c r="Y10" s="1458">
        <f t="shared" si="16"/>
        <v>7.37</v>
      </c>
      <c r="Z10" s="1458">
        <f t="shared" si="17"/>
        <v>12.29</v>
      </c>
      <c r="AA10" s="1458">
        <f t="shared" si="18"/>
        <v>8.85</v>
      </c>
      <c r="AB10" s="1458">
        <f t="shared" si="19"/>
        <v>55.980000000000011</v>
      </c>
      <c r="AC10" s="1458">
        <f t="shared" si="20"/>
        <v>33.47</v>
      </c>
      <c r="AD10" s="1459">
        <f t="shared" si="21"/>
        <v>28</v>
      </c>
      <c r="AE10" s="1460">
        <f t="shared" si="22"/>
        <v>176.39999999999998</v>
      </c>
      <c r="AF10" s="1460">
        <f t="shared" si="23"/>
        <v>28</v>
      </c>
      <c r="AG10" s="1460">
        <f t="shared" si="24"/>
        <v>21.167999999999999</v>
      </c>
      <c r="AH10" s="1460">
        <f t="shared" si="25"/>
        <v>2.8000000000000003</v>
      </c>
      <c r="AI10" s="1452">
        <f t="shared" si="26"/>
        <v>5.0400000000000009</v>
      </c>
      <c r="AJ10" s="1452">
        <f t="shared" si="27"/>
        <v>15.120000000000001</v>
      </c>
      <c r="AK10" s="1647"/>
      <c r="AL10" s="1461">
        <f t="shared" si="4"/>
        <v>18</v>
      </c>
      <c r="AM10" s="1460">
        <f t="shared" si="2"/>
        <v>12.6</v>
      </c>
      <c r="AN10" s="1460">
        <f t="shared" si="5"/>
        <v>140.46</v>
      </c>
      <c r="AO10" s="1460">
        <f t="shared" si="6"/>
        <v>18.899999999999999</v>
      </c>
      <c r="AP10" s="1460">
        <f t="shared" si="7"/>
        <v>113.39999999999999</v>
      </c>
    </row>
    <row r="11" spans="1:42" s="1462" customFormat="1" ht="16.5" x14ac:dyDescent="0.3">
      <c r="A11" s="1445" t="s">
        <v>2303</v>
      </c>
      <c r="B11" s="1447" t="s">
        <v>2872</v>
      </c>
      <c r="C11" s="1448">
        <v>14</v>
      </c>
      <c r="D11" s="1449">
        <f t="shared" si="3"/>
        <v>0.35000000000000003</v>
      </c>
      <c r="E11" s="1450">
        <v>71.319999999999993</v>
      </c>
      <c r="F11" s="1451">
        <f t="shared" si="0"/>
        <v>0.8</v>
      </c>
      <c r="G11" s="1452" t="s">
        <v>2810</v>
      </c>
      <c r="H11" s="1463">
        <v>716.97799999999995</v>
      </c>
      <c r="I11" s="1463">
        <v>714.77599999999995</v>
      </c>
      <c r="J11" s="1469">
        <f t="shared" si="8"/>
        <v>2.2019999999999982</v>
      </c>
      <c r="K11" s="1464">
        <v>713.32600000000002</v>
      </c>
      <c r="L11" s="1464">
        <v>711.31700000000001</v>
      </c>
      <c r="M11" s="1454">
        <f t="shared" si="9"/>
        <v>2.0090000000000146</v>
      </c>
      <c r="N11" s="1456">
        <f t="shared" si="10"/>
        <v>2.1055000000000064</v>
      </c>
      <c r="O11" s="1456">
        <f t="shared" ref="O11:O43" si="28">N11-2</f>
        <v>0.10550000000000637</v>
      </c>
      <c r="P11" s="1456">
        <f t="shared" si="11"/>
        <v>2</v>
      </c>
      <c r="Q11" s="1457">
        <f t="shared" si="12"/>
        <v>114.11199999999999</v>
      </c>
      <c r="R11" s="1457">
        <f t="shared" si="13"/>
        <v>6.0194080000003627</v>
      </c>
      <c r="S11" s="1458">
        <f t="shared" si="14"/>
        <v>120.13</v>
      </c>
      <c r="T11" s="1451" t="s">
        <v>2811</v>
      </c>
      <c r="U11" s="1458">
        <f t="shared" si="1"/>
        <v>300.33</v>
      </c>
      <c r="V11" s="1651"/>
      <c r="W11" s="1651"/>
      <c r="X11" s="1458">
        <f t="shared" si="15"/>
        <v>6.86</v>
      </c>
      <c r="Y11" s="1458">
        <f t="shared" si="16"/>
        <v>8.56</v>
      </c>
      <c r="Z11" s="1458">
        <f t="shared" si="17"/>
        <v>14.26</v>
      </c>
      <c r="AA11" s="1458">
        <f t="shared" si="18"/>
        <v>10.27</v>
      </c>
      <c r="AB11" s="1458">
        <f t="shared" si="19"/>
        <v>80.179999999999993</v>
      </c>
      <c r="AC11" s="1458">
        <f t="shared" si="20"/>
        <v>39.950000000000003</v>
      </c>
      <c r="AD11" s="1459">
        <f t="shared" si="21"/>
        <v>29</v>
      </c>
      <c r="AE11" s="1460">
        <f t="shared" si="22"/>
        <v>182.7</v>
      </c>
      <c r="AF11" s="1460">
        <f t="shared" si="23"/>
        <v>29</v>
      </c>
      <c r="AG11" s="1460">
        <f t="shared" si="24"/>
        <v>21.923999999999999</v>
      </c>
      <c r="AH11" s="1460">
        <f t="shared" si="25"/>
        <v>2.9000000000000004</v>
      </c>
      <c r="AI11" s="1452">
        <f t="shared" si="26"/>
        <v>5.22</v>
      </c>
      <c r="AJ11" s="1452">
        <f t="shared" si="27"/>
        <v>15.659999999999998</v>
      </c>
      <c r="AK11" s="1647"/>
      <c r="AL11" s="1461">
        <f t="shared" si="4"/>
        <v>18</v>
      </c>
      <c r="AM11" s="1460">
        <f t="shared" si="2"/>
        <v>14.4</v>
      </c>
      <c r="AN11" s="1460">
        <f t="shared" si="5"/>
        <v>142.63999999999999</v>
      </c>
      <c r="AO11" s="1460">
        <f t="shared" si="6"/>
        <v>21.599999999999998</v>
      </c>
      <c r="AP11" s="1460">
        <f t="shared" si="7"/>
        <v>129.6</v>
      </c>
    </row>
    <row r="12" spans="1:42" s="1462" customFormat="1" ht="16.5" x14ac:dyDescent="0.3">
      <c r="A12" s="1445" t="s">
        <v>2924</v>
      </c>
      <c r="B12" s="1447" t="s">
        <v>2873</v>
      </c>
      <c r="C12" s="1448">
        <v>14</v>
      </c>
      <c r="D12" s="1449">
        <f t="shared" si="3"/>
        <v>0.35000000000000003</v>
      </c>
      <c r="E12" s="1450">
        <v>71.319999999999993</v>
      </c>
      <c r="F12" s="1451">
        <f t="shared" si="0"/>
        <v>0.8</v>
      </c>
      <c r="G12" s="1452" t="s">
        <v>2810</v>
      </c>
      <c r="H12" s="1463">
        <v>726.69600000000003</v>
      </c>
      <c r="I12" s="1463">
        <v>725.01700000000005</v>
      </c>
      <c r="J12" s="1454">
        <f t="shared" si="8"/>
        <v>1.6789999999999736</v>
      </c>
      <c r="K12" s="1464">
        <v>716.97799999999995</v>
      </c>
      <c r="L12" s="1464">
        <v>714.93600000000004</v>
      </c>
      <c r="M12" s="1454">
        <f t="shared" si="9"/>
        <v>2.0419999999999163</v>
      </c>
      <c r="N12" s="1456">
        <f t="shared" si="10"/>
        <v>1.860499999999945</v>
      </c>
      <c r="O12" s="1456">
        <v>0</v>
      </c>
      <c r="P12" s="1456">
        <f t="shared" si="11"/>
        <v>1.860499999999945</v>
      </c>
      <c r="Q12" s="1457">
        <f t="shared" si="12"/>
        <v>106.15268799999686</v>
      </c>
      <c r="R12" s="1457">
        <f t="shared" si="13"/>
        <v>0</v>
      </c>
      <c r="S12" s="1458">
        <f t="shared" si="14"/>
        <v>106.15</v>
      </c>
      <c r="T12" s="1451" t="s">
        <v>2811</v>
      </c>
      <c r="U12" s="1458">
        <f t="shared" si="1"/>
        <v>265.38</v>
      </c>
      <c r="V12" s="1651"/>
      <c r="W12" s="1651"/>
      <c r="X12" s="1458">
        <f t="shared" si="15"/>
        <v>6.86</v>
      </c>
      <c r="Y12" s="1458">
        <f t="shared" si="16"/>
        <v>8.56</v>
      </c>
      <c r="Z12" s="1458">
        <f t="shared" si="17"/>
        <v>14.26</v>
      </c>
      <c r="AA12" s="1458">
        <f t="shared" si="18"/>
        <v>10.27</v>
      </c>
      <c r="AB12" s="1458">
        <f t="shared" si="19"/>
        <v>66.2</v>
      </c>
      <c r="AC12" s="1458">
        <f t="shared" si="20"/>
        <v>39.950000000000003</v>
      </c>
      <c r="AD12" s="1459">
        <f t="shared" si="21"/>
        <v>29</v>
      </c>
      <c r="AE12" s="1460">
        <f t="shared" si="22"/>
        <v>182.7</v>
      </c>
      <c r="AF12" s="1460">
        <f t="shared" si="23"/>
        <v>29</v>
      </c>
      <c r="AG12" s="1460">
        <f t="shared" si="24"/>
        <v>21.923999999999999</v>
      </c>
      <c r="AH12" s="1460">
        <f t="shared" si="25"/>
        <v>2.9000000000000004</v>
      </c>
      <c r="AI12" s="1452">
        <f t="shared" si="26"/>
        <v>5.22</v>
      </c>
      <c r="AJ12" s="1452">
        <f t="shared" si="27"/>
        <v>15.659999999999998</v>
      </c>
      <c r="AK12" s="1647"/>
      <c r="AL12" s="1461">
        <f t="shared" si="4"/>
        <v>18</v>
      </c>
      <c r="AM12" s="1460">
        <f t="shared" si="2"/>
        <v>14.4</v>
      </c>
      <c r="AN12" s="1460">
        <f t="shared" si="5"/>
        <v>142.63999999999999</v>
      </c>
      <c r="AO12" s="1460">
        <f t="shared" si="6"/>
        <v>21.599999999999998</v>
      </c>
      <c r="AP12" s="1460">
        <f t="shared" si="7"/>
        <v>129.6</v>
      </c>
    </row>
    <row r="13" spans="1:42" ht="16.5" customHeight="1" x14ac:dyDescent="0.25">
      <c r="A13" s="1652" t="s">
        <v>2925</v>
      </c>
      <c r="B13" s="1172" t="s">
        <v>2874</v>
      </c>
      <c r="C13" s="1173">
        <v>10</v>
      </c>
      <c r="D13" s="1183">
        <f t="shared" si="3"/>
        <v>0.25</v>
      </c>
      <c r="E13" s="1174">
        <v>49.21</v>
      </c>
      <c r="F13" s="1104">
        <f t="shared" si="0"/>
        <v>0.7</v>
      </c>
      <c r="G13" s="1094" t="s">
        <v>2810</v>
      </c>
      <c r="H13" s="1181">
        <v>710</v>
      </c>
      <c r="I13" s="1181">
        <v>708.7</v>
      </c>
      <c r="J13" s="1110">
        <f t="shared" si="8"/>
        <v>1.2999999999999545</v>
      </c>
      <c r="K13" s="1180">
        <v>703.56</v>
      </c>
      <c r="L13" s="1180">
        <v>702.303</v>
      </c>
      <c r="M13" s="1110">
        <f t="shared" si="9"/>
        <v>1.2569999999999482</v>
      </c>
      <c r="N13" s="1109">
        <f t="shared" si="10"/>
        <v>1.2784999999999513</v>
      </c>
      <c r="O13" s="1109">
        <v>0</v>
      </c>
      <c r="P13" s="1109">
        <f t="shared" si="11"/>
        <v>1.2784999999999513</v>
      </c>
      <c r="Q13" s="1116">
        <f t="shared" si="12"/>
        <v>44.040489499998316</v>
      </c>
      <c r="R13" s="1116">
        <f t="shared" si="13"/>
        <v>0</v>
      </c>
      <c r="S13" s="1096">
        <f t="shared" si="14"/>
        <v>44.04</v>
      </c>
      <c r="T13" s="1104" t="s">
        <v>2811</v>
      </c>
      <c r="U13" s="1096">
        <f t="shared" si="1"/>
        <v>125.83</v>
      </c>
      <c r="V13" s="1651"/>
      <c r="W13" s="1651"/>
      <c r="X13" s="1096">
        <f t="shared" si="15"/>
        <v>2.42</v>
      </c>
      <c r="Y13" s="1096">
        <f t="shared" si="16"/>
        <v>5.17</v>
      </c>
      <c r="Z13" s="1096">
        <f t="shared" si="17"/>
        <v>8.61</v>
      </c>
      <c r="AA13" s="1096">
        <f t="shared" si="18"/>
        <v>6.2</v>
      </c>
      <c r="AB13" s="1096">
        <f t="shared" si="19"/>
        <v>21.639999999999997</v>
      </c>
      <c r="AC13" s="1096">
        <f t="shared" si="20"/>
        <v>22.4</v>
      </c>
      <c r="AD13" s="1097">
        <v>6</v>
      </c>
      <c r="AE13" s="1111">
        <f t="shared" si="22"/>
        <v>37.799999999999997</v>
      </c>
      <c r="AF13" s="1111">
        <f t="shared" si="23"/>
        <v>6</v>
      </c>
      <c r="AG13" s="1111">
        <f t="shared" si="24"/>
        <v>4.5359999999999996</v>
      </c>
      <c r="AH13" s="1111">
        <f t="shared" si="25"/>
        <v>0.60000000000000009</v>
      </c>
      <c r="AI13" s="1115">
        <f t="shared" si="26"/>
        <v>1.0799999999999998</v>
      </c>
      <c r="AJ13" s="1115">
        <f t="shared" si="27"/>
        <v>3.2399999999999998</v>
      </c>
      <c r="AK13" s="1647"/>
      <c r="AL13" s="1114">
        <f t="shared" si="4"/>
        <v>12</v>
      </c>
      <c r="AM13" s="1111">
        <f t="shared" si="2"/>
        <v>8.3999999999999986</v>
      </c>
      <c r="AN13" s="1111">
        <f t="shared" si="5"/>
        <v>98.42</v>
      </c>
      <c r="AO13" s="1111">
        <f t="shared" si="6"/>
        <v>12.599999999999998</v>
      </c>
      <c r="AP13" s="1111">
        <f t="shared" si="7"/>
        <v>75.599999999999994</v>
      </c>
    </row>
    <row r="14" spans="1:42" ht="16.5" customHeight="1" x14ac:dyDescent="0.25">
      <c r="A14" s="1653"/>
      <c r="B14" s="1172" t="s">
        <v>2875</v>
      </c>
      <c r="C14" s="1173">
        <v>10</v>
      </c>
      <c r="D14" s="1183">
        <f t="shared" si="3"/>
        <v>0.25</v>
      </c>
      <c r="E14" s="1174">
        <v>20.12</v>
      </c>
      <c r="F14" s="1104">
        <f t="shared" si="0"/>
        <v>0.7</v>
      </c>
      <c r="G14" s="1094" t="s">
        <v>2810</v>
      </c>
      <c r="H14" s="1181">
        <v>703.56</v>
      </c>
      <c r="I14" s="1181">
        <v>702.25</v>
      </c>
      <c r="J14" s="1110">
        <f t="shared" si="8"/>
        <v>1.3099999999999454</v>
      </c>
      <c r="K14" s="1180">
        <v>700.41</v>
      </c>
      <c r="L14" s="1180">
        <v>699.03</v>
      </c>
      <c r="M14" s="1110">
        <f t="shared" si="9"/>
        <v>1.3799999999999955</v>
      </c>
      <c r="N14" s="1109">
        <f t="shared" si="10"/>
        <v>1.3449999999999704</v>
      </c>
      <c r="O14" s="1109">
        <v>0</v>
      </c>
      <c r="P14" s="1109">
        <f t="shared" si="11"/>
        <v>1.3449999999999704</v>
      </c>
      <c r="Q14" s="1116">
        <f t="shared" si="12"/>
        <v>18.942979999999583</v>
      </c>
      <c r="R14" s="1116">
        <f t="shared" si="13"/>
        <v>0</v>
      </c>
      <c r="S14" s="1096">
        <f t="shared" si="14"/>
        <v>18.940000000000001</v>
      </c>
      <c r="T14" s="1104" t="s">
        <v>2811</v>
      </c>
      <c r="U14" s="1096">
        <f t="shared" si="1"/>
        <v>54.12</v>
      </c>
      <c r="V14" s="1651"/>
      <c r="W14" s="1651"/>
      <c r="X14" s="1096">
        <f t="shared" si="15"/>
        <v>0.99</v>
      </c>
      <c r="Y14" s="1096">
        <f t="shared" si="16"/>
        <v>2.11</v>
      </c>
      <c r="Z14" s="1096">
        <f t="shared" si="17"/>
        <v>3.52</v>
      </c>
      <c r="AA14" s="1096">
        <f t="shared" si="18"/>
        <v>2.54</v>
      </c>
      <c r="AB14" s="1096">
        <f t="shared" si="19"/>
        <v>9.7800000000000047</v>
      </c>
      <c r="AC14" s="1096">
        <f t="shared" si="20"/>
        <v>9.16</v>
      </c>
      <c r="AD14" s="1097">
        <f t="shared" si="21"/>
        <v>8</v>
      </c>
      <c r="AE14" s="1111">
        <f t="shared" si="22"/>
        <v>50.399999999999991</v>
      </c>
      <c r="AF14" s="1111">
        <f t="shared" si="23"/>
        <v>8</v>
      </c>
      <c r="AG14" s="1111">
        <f t="shared" si="24"/>
        <v>6.048</v>
      </c>
      <c r="AH14" s="1111">
        <f t="shared" si="25"/>
        <v>0.8</v>
      </c>
      <c r="AI14" s="1115">
        <f t="shared" si="26"/>
        <v>1.44</v>
      </c>
      <c r="AJ14" s="1115">
        <f t="shared" si="27"/>
        <v>4.3199999999999994</v>
      </c>
      <c r="AK14" s="1647"/>
      <c r="AL14" s="1114">
        <f t="shared" si="4"/>
        <v>5</v>
      </c>
      <c r="AM14" s="1111">
        <f t="shared" si="2"/>
        <v>3.5</v>
      </c>
      <c r="AN14" s="1111">
        <f t="shared" si="5"/>
        <v>40.24</v>
      </c>
      <c r="AO14" s="1111">
        <f t="shared" si="6"/>
        <v>5.2500000000000009</v>
      </c>
      <c r="AP14" s="1111">
        <f t="shared" si="7"/>
        <v>31.5</v>
      </c>
    </row>
    <row r="15" spans="1:42" s="1140" customFormat="1" ht="15.75" customHeight="1" x14ac:dyDescent="0.25">
      <c r="A15" s="1196"/>
      <c r="B15" s="1175" t="s">
        <v>2876</v>
      </c>
      <c r="C15" s="1173">
        <v>12</v>
      </c>
      <c r="D15" s="1183">
        <f t="shared" si="3"/>
        <v>0.30000000000000004</v>
      </c>
      <c r="E15" s="1176">
        <v>0</v>
      </c>
      <c r="F15" s="1104">
        <f t="shared" ref="F15:F17" si="29">+VLOOKUP(C15,$A$50:$B$70,2)</f>
        <v>0.7</v>
      </c>
      <c r="G15" s="1107" t="s">
        <v>2810</v>
      </c>
      <c r="H15" s="1180"/>
      <c r="I15" s="1180"/>
      <c r="J15" s="1110"/>
      <c r="K15" s="1180"/>
      <c r="L15" s="1180"/>
      <c r="M15" s="1110"/>
      <c r="N15" s="1109"/>
      <c r="O15" s="1109"/>
      <c r="P15" s="1109"/>
      <c r="Q15" s="1116"/>
      <c r="R15" s="1116"/>
      <c r="S15" s="1096"/>
      <c r="T15" s="1104"/>
      <c r="U15" s="1096"/>
      <c r="V15" s="1651"/>
      <c r="W15" s="1651"/>
      <c r="X15" s="1096"/>
      <c r="Y15" s="1096"/>
      <c r="Z15" s="1096"/>
      <c r="AA15" s="1096"/>
      <c r="AB15" s="1096"/>
      <c r="AC15" s="1096"/>
      <c r="AD15" s="1097"/>
      <c r="AE15" s="1111"/>
      <c r="AF15" s="1111"/>
      <c r="AG15" s="1111"/>
      <c r="AH15" s="1111"/>
      <c r="AI15" s="1115"/>
      <c r="AJ15" s="1115"/>
      <c r="AK15" s="1647"/>
      <c r="AL15" s="1114">
        <f t="shared" si="4"/>
        <v>0</v>
      </c>
      <c r="AM15" s="1111">
        <f t="shared" si="2"/>
        <v>0</v>
      </c>
      <c r="AN15" s="1111">
        <f t="shared" si="5"/>
        <v>0</v>
      </c>
      <c r="AO15" s="1111">
        <f t="shared" si="6"/>
        <v>0</v>
      </c>
      <c r="AP15" s="1111">
        <f t="shared" si="7"/>
        <v>0</v>
      </c>
    </row>
    <row r="16" spans="1:42" s="1466" customFormat="1" ht="15.75" customHeight="1" x14ac:dyDescent="0.25">
      <c r="A16" s="1465" t="s">
        <v>2308</v>
      </c>
      <c r="B16" s="1447" t="s">
        <v>2877</v>
      </c>
      <c r="C16" s="1448">
        <v>12</v>
      </c>
      <c r="D16" s="1449">
        <f t="shared" si="3"/>
        <v>0.30000000000000004</v>
      </c>
      <c r="E16" s="1450">
        <v>67.7</v>
      </c>
      <c r="F16" s="1451">
        <f t="shared" si="29"/>
        <v>0.7</v>
      </c>
      <c r="G16" s="1452" t="s">
        <v>2810</v>
      </c>
      <c r="H16" s="1464">
        <v>686.56</v>
      </c>
      <c r="I16" s="1464">
        <v>684.96</v>
      </c>
      <c r="J16" s="1454">
        <f t="shared" si="8"/>
        <v>1.5999999999999091</v>
      </c>
      <c r="K16" s="1464">
        <v>677.15</v>
      </c>
      <c r="L16" s="1464">
        <v>675.27</v>
      </c>
      <c r="M16" s="1454">
        <f t="shared" si="9"/>
        <v>1.8799999999999955</v>
      </c>
      <c r="N16" s="1456">
        <f t="shared" si="10"/>
        <v>1.7399999999999523</v>
      </c>
      <c r="O16" s="1456">
        <v>0</v>
      </c>
      <c r="P16" s="1456">
        <f t="shared" si="11"/>
        <v>1.7399999999999523</v>
      </c>
      <c r="Q16" s="1457">
        <f t="shared" si="12"/>
        <v>82.45859999999773</v>
      </c>
      <c r="R16" s="1457">
        <f t="shared" si="13"/>
        <v>0</v>
      </c>
      <c r="S16" s="1458">
        <f t="shared" ref="S16:S26" si="30">+ROUND(E16*F16*N16,2)</f>
        <v>82.46</v>
      </c>
      <c r="T16" s="1451" t="s">
        <v>2811</v>
      </c>
      <c r="U16" s="1458">
        <f t="shared" si="1"/>
        <v>235.6</v>
      </c>
      <c r="V16" s="1651"/>
      <c r="W16" s="1651"/>
      <c r="X16" s="1458">
        <f t="shared" si="15"/>
        <v>4.79</v>
      </c>
      <c r="Y16" s="1458">
        <f t="shared" si="16"/>
        <v>7.11</v>
      </c>
      <c r="Z16" s="1458">
        <f t="shared" si="17"/>
        <v>11.85</v>
      </c>
      <c r="AA16" s="1458">
        <f t="shared" si="18"/>
        <v>8.5299999999999994</v>
      </c>
      <c r="AB16" s="1458">
        <f t="shared" si="19"/>
        <v>50.179999999999986</v>
      </c>
      <c r="AC16" s="1458">
        <f t="shared" si="20"/>
        <v>32.28</v>
      </c>
      <c r="AD16" s="1459">
        <f t="shared" si="21"/>
        <v>27</v>
      </c>
      <c r="AE16" s="1460">
        <f>+AD16*1.5*0.7*6</f>
        <v>170.1</v>
      </c>
      <c r="AF16" s="1460">
        <f>+AD16</f>
        <v>27</v>
      </c>
      <c r="AG16" s="1460">
        <f>+AD16*6*0.18*0.7</f>
        <v>20.411999999999999</v>
      </c>
      <c r="AH16" s="1460">
        <f>+AD16*1*0.1</f>
        <v>2.7</v>
      </c>
      <c r="AI16" s="1452">
        <f t="shared" si="26"/>
        <v>4.8599999999999994</v>
      </c>
      <c r="AJ16" s="1452">
        <f t="shared" si="27"/>
        <v>14.579999999999998</v>
      </c>
      <c r="AK16" s="1647"/>
      <c r="AL16" s="1461">
        <f t="shared" si="4"/>
        <v>17</v>
      </c>
      <c r="AM16" s="1460">
        <f t="shared" si="2"/>
        <v>11.899999999999999</v>
      </c>
      <c r="AN16" s="1460">
        <f t="shared" si="5"/>
        <v>135.4</v>
      </c>
      <c r="AO16" s="1460">
        <f t="shared" si="6"/>
        <v>17.849999999999998</v>
      </c>
      <c r="AP16" s="1460">
        <f t="shared" si="7"/>
        <v>107.1</v>
      </c>
    </row>
    <row r="17" spans="1:42" s="1119" customFormat="1" ht="15.75" customHeight="1" x14ac:dyDescent="0.25">
      <c r="A17" s="1635" t="s">
        <v>2926</v>
      </c>
      <c r="B17" s="1172" t="s">
        <v>2878</v>
      </c>
      <c r="C17" s="1173">
        <v>24</v>
      </c>
      <c r="D17" s="1183">
        <f t="shared" si="3"/>
        <v>0.60000000000000009</v>
      </c>
      <c r="E17" s="1174">
        <v>0</v>
      </c>
      <c r="F17" s="1104">
        <f t="shared" si="29"/>
        <v>1.1000000000000001</v>
      </c>
      <c r="G17" s="1115" t="s">
        <v>2900</v>
      </c>
      <c r="H17" s="1180">
        <v>689.57</v>
      </c>
      <c r="I17" s="1180">
        <v>686.63</v>
      </c>
      <c r="J17" s="1110">
        <f t="shared" si="8"/>
        <v>2.9400000000000546</v>
      </c>
      <c r="K17" s="1180">
        <v>685.3</v>
      </c>
      <c r="L17" s="1180">
        <v>681.32</v>
      </c>
      <c r="M17" s="1110">
        <f t="shared" si="9"/>
        <v>3.9799999999999045</v>
      </c>
      <c r="N17" s="1109">
        <f t="shared" si="10"/>
        <v>3.4599999999999795</v>
      </c>
      <c r="O17" s="1109">
        <v>0</v>
      </c>
      <c r="P17" s="1109">
        <f t="shared" si="11"/>
        <v>3.4599999999999795</v>
      </c>
      <c r="Q17" s="1116">
        <f t="shared" si="12"/>
        <v>0</v>
      </c>
      <c r="R17" s="1116">
        <f t="shared" si="13"/>
        <v>0</v>
      </c>
      <c r="S17" s="1096">
        <f t="shared" si="30"/>
        <v>0</v>
      </c>
      <c r="T17" s="1104" t="s">
        <v>2811</v>
      </c>
      <c r="U17" s="1096">
        <f t="shared" si="1"/>
        <v>0</v>
      </c>
      <c r="V17" s="1651"/>
      <c r="W17" s="1651"/>
      <c r="X17" s="1096">
        <f t="shared" si="15"/>
        <v>0</v>
      </c>
      <c r="Y17" s="1096">
        <f t="shared" si="16"/>
        <v>0</v>
      </c>
      <c r="Z17" s="1096">
        <f t="shared" si="17"/>
        <v>0</v>
      </c>
      <c r="AA17" s="1096">
        <f t="shared" si="18"/>
        <v>0</v>
      </c>
      <c r="AB17" s="1096">
        <f t="shared" si="19"/>
        <v>0</v>
      </c>
      <c r="AC17" s="1096">
        <f t="shared" si="20"/>
        <v>0</v>
      </c>
      <c r="AD17" s="1097"/>
      <c r="AE17" s="1117"/>
      <c r="AF17" s="1117"/>
      <c r="AG17" s="1117"/>
      <c r="AH17" s="1117"/>
      <c r="AI17" s="1115"/>
      <c r="AJ17" s="1115"/>
      <c r="AK17" s="1647"/>
      <c r="AL17" s="1118">
        <f t="shared" si="4"/>
        <v>0</v>
      </c>
      <c r="AM17" s="1117">
        <f t="shared" si="2"/>
        <v>0</v>
      </c>
      <c r="AN17" s="1117">
        <f t="shared" si="5"/>
        <v>0</v>
      </c>
      <c r="AO17" s="1117">
        <f t="shared" si="6"/>
        <v>0</v>
      </c>
      <c r="AP17" s="1117">
        <f t="shared" si="7"/>
        <v>0</v>
      </c>
    </row>
    <row r="18" spans="1:42" ht="15.75" customHeight="1" x14ac:dyDescent="0.25">
      <c r="A18" s="1636"/>
      <c r="B18" s="1172" t="s">
        <v>2879</v>
      </c>
      <c r="C18" s="1173">
        <v>24</v>
      </c>
      <c r="D18" s="1183">
        <f t="shared" si="3"/>
        <v>0.60000000000000009</v>
      </c>
      <c r="E18" s="1174">
        <v>0</v>
      </c>
      <c r="F18" s="1104">
        <f t="shared" ref="F18:F44" si="31">+VLOOKUP(C18,$A$50:$B$70,2)</f>
        <v>1.1000000000000001</v>
      </c>
      <c r="G18" s="1094" t="s">
        <v>2810</v>
      </c>
      <c r="H18" s="1180">
        <v>685.3</v>
      </c>
      <c r="I18" s="1180">
        <v>681.27</v>
      </c>
      <c r="J18" s="1110">
        <f t="shared" si="8"/>
        <v>4.0299999999999727</v>
      </c>
      <c r="K18" s="1180">
        <v>677.15</v>
      </c>
      <c r="L18" s="1180">
        <v>675.27</v>
      </c>
      <c r="M18" s="1110">
        <f t="shared" si="9"/>
        <v>1.8799999999999955</v>
      </c>
      <c r="N18" s="1109">
        <f t="shared" si="10"/>
        <v>2.9549999999999841</v>
      </c>
      <c r="O18" s="1109">
        <f t="shared" si="28"/>
        <v>0.95499999999998408</v>
      </c>
      <c r="P18" s="1109">
        <f t="shared" si="11"/>
        <v>2</v>
      </c>
      <c r="Q18" s="1116">
        <f t="shared" si="12"/>
        <v>0</v>
      </c>
      <c r="R18" s="1116">
        <f t="shared" si="13"/>
        <v>0</v>
      </c>
      <c r="S18" s="1096">
        <f t="shared" si="30"/>
        <v>0</v>
      </c>
      <c r="T18" s="1104" t="s">
        <v>2811</v>
      </c>
      <c r="U18" s="1096">
        <f t="shared" si="1"/>
        <v>0</v>
      </c>
      <c r="V18" s="1651"/>
      <c r="W18" s="1651"/>
      <c r="X18" s="1096">
        <f t="shared" si="15"/>
        <v>0</v>
      </c>
      <c r="Y18" s="1096">
        <f t="shared" si="16"/>
        <v>0</v>
      </c>
      <c r="Z18" s="1096">
        <f t="shared" si="17"/>
        <v>0</v>
      </c>
      <c r="AA18" s="1096">
        <f t="shared" si="18"/>
        <v>0</v>
      </c>
      <c r="AB18" s="1096">
        <f t="shared" si="19"/>
        <v>0</v>
      </c>
      <c r="AC18" s="1096">
        <f t="shared" si="20"/>
        <v>0</v>
      </c>
      <c r="AD18" s="1097"/>
      <c r="AE18" s="1111"/>
      <c r="AF18" s="1111"/>
      <c r="AG18" s="1111"/>
      <c r="AH18" s="1111"/>
      <c r="AI18" s="1115"/>
      <c r="AJ18" s="1115"/>
      <c r="AK18" s="1647"/>
      <c r="AL18" s="1114">
        <f t="shared" si="4"/>
        <v>0</v>
      </c>
      <c r="AM18" s="1111">
        <f t="shared" si="2"/>
        <v>0</v>
      </c>
      <c r="AN18" s="1111">
        <f t="shared" si="5"/>
        <v>0</v>
      </c>
      <c r="AO18" s="1111">
        <f t="shared" si="6"/>
        <v>0</v>
      </c>
      <c r="AP18" s="1111">
        <f t="shared" si="7"/>
        <v>0</v>
      </c>
    </row>
    <row r="19" spans="1:42" ht="15.75" customHeight="1" x14ac:dyDescent="0.25">
      <c r="A19" s="1654" t="s">
        <v>2882</v>
      </c>
      <c r="B19" s="1172" t="s">
        <v>2880</v>
      </c>
      <c r="C19" s="1173">
        <v>27</v>
      </c>
      <c r="D19" s="1183">
        <f t="shared" si="3"/>
        <v>0.67500000000000004</v>
      </c>
      <c r="E19" s="1174">
        <v>53.7</v>
      </c>
      <c r="F19" s="1104">
        <f t="shared" si="31"/>
        <v>1.2</v>
      </c>
      <c r="G19" s="1094" t="s">
        <v>2810</v>
      </c>
      <c r="H19" s="1180">
        <v>677.15</v>
      </c>
      <c r="I19" s="1180">
        <v>675.25</v>
      </c>
      <c r="J19" s="1469">
        <f t="shared" si="8"/>
        <v>1.8999999999999773</v>
      </c>
      <c r="K19" s="1180">
        <v>671.46</v>
      </c>
      <c r="L19" s="1180">
        <v>670</v>
      </c>
      <c r="M19" s="1110">
        <f t="shared" si="9"/>
        <v>1.4600000000000364</v>
      </c>
      <c r="N19" s="1109">
        <f t="shared" si="10"/>
        <v>1.6800000000000068</v>
      </c>
      <c r="O19" s="1109">
        <v>0</v>
      </c>
      <c r="P19" s="1109">
        <f t="shared" si="11"/>
        <v>1.6800000000000068</v>
      </c>
      <c r="Q19" s="1116">
        <f t="shared" si="12"/>
        <v>108.25920000000043</v>
      </c>
      <c r="R19" s="1116">
        <f t="shared" si="13"/>
        <v>0</v>
      </c>
      <c r="S19" s="1096">
        <f t="shared" si="30"/>
        <v>108.26</v>
      </c>
      <c r="T19" s="1104" t="s">
        <v>2811</v>
      </c>
      <c r="U19" s="1096">
        <f t="shared" si="1"/>
        <v>180.43</v>
      </c>
      <c r="V19" s="1651"/>
      <c r="W19" s="1651"/>
      <c r="X19" s="1096">
        <f t="shared" si="15"/>
        <v>19.22</v>
      </c>
      <c r="Y19" s="1096">
        <f t="shared" si="16"/>
        <v>9.67</v>
      </c>
      <c r="Z19" s="1096">
        <f t="shared" si="17"/>
        <v>16.11</v>
      </c>
      <c r="AA19" s="1096">
        <f t="shared" si="18"/>
        <v>11.6</v>
      </c>
      <c r="AB19" s="1096">
        <f t="shared" si="19"/>
        <v>51.660000000000004</v>
      </c>
      <c r="AC19" s="1096">
        <f t="shared" si="20"/>
        <v>56.6</v>
      </c>
      <c r="AD19" s="1097"/>
      <c r="AE19" s="1111"/>
      <c r="AF19" s="1111"/>
      <c r="AG19" s="1111"/>
      <c r="AH19" s="1111"/>
      <c r="AI19" s="1115"/>
      <c r="AJ19" s="1115"/>
      <c r="AK19" s="1647"/>
      <c r="AL19" s="1114">
        <f t="shared" si="4"/>
        <v>13</v>
      </c>
      <c r="AM19" s="1111">
        <f t="shared" si="2"/>
        <v>15.6</v>
      </c>
      <c r="AN19" s="1111">
        <f t="shared" si="5"/>
        <v>107.4</v>
      </c>
      <c r="AO19" s="1111">
        <f t="shared" si="6"/>
        <v>23.4</v>
      </c>
      <c r="AP19" s="1111">
        <f t="shared" si="7"/>
        <v>140.4</v>
      </c>
    </row>
    <row r="20" spans="1:42" ht="15.75" customHeight="1" x14ac:dyDescent="0.25">
      <c r="A20" s="1654"/>
      <c r="B20" s="1172" t="s">
        <v>2881</v>
      </c>
      <c r="C20" s="1173">
        <v>27</v>
      </c>
      <c r="D20" s="1183">
        <f t="shared" si="3"/>
        <v>0.67500000000000004</v>
      </c>
      <c r="E20" s="1174">
        <v>23.1</v>
      </c>
      <c r="F20" s="1104">
        <f t="shared" si="31"/>
        <v>1.2</v>
      </c>
      <c r="G20" s="1115" t="s">
        <v>2810</v>
      </c>
      <c r="H20" s="1180">
        <v>671.46</v>
      </c>
      <c r="I20" s="1180">
        <v>669.98</v>
      </c>
      <c r="J20" s="1110">
        <f t="shared" si="8"/>
        <v>1.4800000000000182</v>
      </c>
      <c r="K20" s="1180">
        <v>669.73</v>
      </c>
      <c r="L20" s="1180">
        <v>668</v>
      </c>
      <c r="M20" s="1110">
        <f t="shared" si="9"/>
        <v>1.7300000000000182</v>
      </c>
      <c r="N20" s="1109">
        <f t="shared" si="10"/>
        <v>1.6050000000000182</v>
      </c>
      <c r="O20" s="1109">
        <v>0</v>
      </c>
      <c r="P20" s="1109">
        <f t="shared" ref="P20:P44" si="32">N20-O20</f>
        <v>1.6050000000000182</v>
      </c>
      <c r="Q20" s="1116">
        <f t="shared" ref="Q20:Q44" si="33">P20*F20*E20</f>
        <v>44.490600000000505</v>
      </c>
      <c r="R20" s="1116">
        <f t="shared" ref="R20:R44" si="34">O20*F20*E20</f>
        <v>0</v>
      </c>
      <c r="S20" s="1096">
        <f t="shared" si="30"/>
        <v>44.49</v>
      </c>
      <c r="T20" s="1104" t="s">
        <v>2811</v>
      </c>
      <c r="U20" s="1096">
        <f>+ROUND(E20*N20*2,2)</f>
        <v>74.150000000000006</v>
      </c>
      <c r="V20" s="1651"/>
      <c r="W20" s="1651"/>
      <c r="X20" s="1096">
        <f t="shared" si="15"/>
        <v>8.27</v>
      </c>
      <c r="Y20" s="1096">
        <f t="shared" ref="Y20:Y26" si="35">+ROUND(E20*F20*0.15,2)</f>
        <v>4.16</v>
      </c>
      <c r="Z20" s="1096">
        <f t="shared" ref="Z20:Z26" si="36">+ROUND(E20*F20*0.25,2)</f>
        <v>6.93</v>
      </c>
      <c r="AA20" s="1096">
        <f t="shared" ref="AA20:AA26" si="37">+ROUND(E20*F20*0.18,2)</f>
        <v>4.99</v>
      </c>
      <c r="AB20" s="1096">
        <f t="shared" ref="AB20:AB44" si="38">+S20-X20-Y20-Z20-AA20</f>
        <v>20.14</v>
      </c>
      <c r="AC20" s="1096">
        <f t="shared" ref="AC20:AC44" si="39">+X20+Y20+Z20+AA20</f>
        <v>24.35</v>
      </c>
      <c r="AD20" s="1097"/>
      <c r="AE20" s="1111"/>
      <c r="AF20" s="1111"/>
      <c r="AG20" s="1111"/>
      <c r="AH20" s="1111"/>
      <c r="AI20" s="1115"/>
      <c r="AJ20" s="1115"/>
      <c r="AK20" s="1647"/>
      <c r="AL20" s="1114">
        <f t="shared" ref="AL20:AL26" si="40">+ROUND(E20/4,0)</f>
        <v>6</v>
      </c>
      <c r="AM20" s="1111">
        <f t="shared" si="2"/>
        <v>7.1999999999999993</v>
      </c>
      <c r="AN20" s="1111">
        <f t="shared" ref="AN20:AN26" si="41">+E20*2</f>
        <v>46.2</v>
      </c>
      <c r="AO20" s="1111">
        <f t="shared" ref="AO20:AO44" si="42">+(AM20/0.3)*0.3*1.5</f>
        <v>10.799999999999999</v>
      </c>
      <c r="AP20" s="1111">
        <f t="shared" ref="AP20:AP44" si="43">4*AM20*2.25</f>
        <v>64.8</v>
      </c>
    </row>
    <row r="21" spans="1:42" ht="15.75" customHeight="1" x14ac:dyDescent="0.25">
      <c r="A21" s="1654"/>
      <c r="B21" s="1172" t="s">
        <v>2901</v>
      </c>
      <c r="C21" s="1173">
        <v>27</v>
      </c>
      <c r="D21" s="1183">
        <f t="shared" si="3"/>
        <v>0.67500000000000004</v>
      </c>
      <c r="E21" s="1174">
        <v>41.2</v>
      </c>
      <c r="F21" s="1104">
        <f t="shared" si="31"/>
        <v>1.2</v>
      </c>
      <c r="G21" s="1115" t="s">
        <v>2810</v>
      </c>
      <c r="H21" s="1180">
        <v>669.73</v>
      </c>
      <c r="I21" s="1180">
        <v>667.95</v>
      </c>
      <c r="J21" s="1110">
        <f t="shared" si="8"/>
        <v>1.7799999999999727</v>
      </c>
      <c r="K21" s="1180">
        <v>668.8</v>
      </c>
      <c r="L21" s="1180">
        <v>664.44</v>
      </c>
      <c r="M21" s="1110">
        <f t="shared" si="9"/>
        <v>4.3599999999999</v>
      </c>
      <c r="N21" s="1443">
        <f t="shared" si="10"/>
        <v>3.0699999999999363</v>
      </c>
      <c r="O21" s="1109">
        <f t="shared" si="28"/>
        <v>1.0699999999999363</v>
      </c>
      <c r="P21" s="1109">
        <f t="shared" si="32"/>
        <v>2</v>
      </c>
      <c r="Q21" s="1116">
        <f t="shared" si="33"/>
        <v>98.88000000000001</v>
      </c>
      <c r="R21" s="1116">
        <f t="shared" si="34"/>
        <v>52.900799999996856</v>
      </c>
      <c r="S21" s="1096">
        <f t="shared" si="30"/>
        <v>151.78</v>
      </c>
      <c r="T21" s="1104" t="s">
        <v>2811</v>
      </c>
      <c r="U21" s="1444">
        <f>+ROUND(E21*N21*2,2)</f>
        <v>252.97</v>
      </c>
      <c r="V21" s="1651"/>
      <c r="W21" s="1651"/>
      <c r="X21" s="1096">
        <f t="shared" si="15"/>
        <v>14.74</v>
      </c>
      <c r="Y21" s="1096">
        <f t="shared" si="35"/>
        <v>7.42</v>
      </c>
      <c r="Z21" s="1096">
        <f t="shared" si="36"/>
        <v>12.36</v>
      </c>
      <c r="AA21" s="1096">
        <f t="shared" si="37"/>
        <v>8.9</v>
      </c>
      <c r="AB21" s="1096">
        <f t="shared" si="38"/>
        <v>108.36</v>
      </c>
      <c r="AC21" s="1096">
        <f t="shared" si="39"/>
        <v>43.419999999999995</v>
      </c>
      <c r="AD21" s="1097"/>
      <c r="AE21" s="1111"/>
      <c r="AF21" s="1111"/>
      <c r="AG21" s="1111"/>
      <c r="AH21" s="1111"/>
      <c r="AI21" s="1115"/>
      <c r="AJ21" s="1115"/>
      <c r="AK21" s="1647"/>
      <c r="AL21" s="1114">
        <f t="shared" si="40"/>
        <v>10</v>
      </c>
      <c r="AM21" s="1111">
        <f t="shared" si="2"/>
        <v>12</v>
      </c>
      <c r="AN21" s="1111">
        <f t="shared" si="41"/>
        <v>82.4</v>
      </c>
      <c r="AO21" s="1111">
        <f t="shared" si="42"/>
        <v>18</v>
      </c>
      <c r="AP21" s="1111">
        <f t="shared" si="43"/>
        <v>108</v>
      </c>
    </row>
    <row r="22" spans="1:42" ht="15.75" customHeight="1" x14ac:dyDescent="0.25">
      <c r="A22" s="1654"/>
      <c r="B22" s="1172" t="s">
        <v>2902</v>
      </c>
      <c r="C22" s="1173">
        <v>27</v>
      </c>
      <c r="D22" s="1183">
        <f t="shared" si="3"/>
        <v>0.67500000000000004</v>
      </c>
      <c r="E22" s="1174">
        <v>6</v>
      </c>
      <c r="F22" s="1104">
        <f t="shared" si="31"/>
        <v>1.2</v>
      </c>
      <c r="G22" s="1115" t="s">
        <v>2810</v>
      </c>
      <c r="H22" s="1180">
        <v>668.8</v>
      </c>
      <c r="I22" s="1180">
        <v>664.44</v>
      </c>
      <c r="J22" s="1469">
        <f t="shared" si="8"/>
        <v>4.3599999999999</v>
      </c>
      <c r="K22" s="1180">
        <v>668.5</v>
      </c>
      <c r="L22" s="1180">
        <v>664.32</v>
      </c>
      <c r="M22" s="1110">
        <f t="shared" si="9"/>
        <v>4.17999999999995</v>
      </c>
      <c r="N22" s="1443">
        <f t="shared" si="10"/>
        <v>4.269999999999925</v>
      </c>
      <c r="O22" s="1109">
        <f t="shared" si="28"/>
        <v>2.269999999999925</v>
      </c>
      <c r="P22" s="1109">
        <f t="shared" si="32"/>
        <v>2</v>
      </c>
      <c r="Q22" s="1116">
        <f t="shared" si="33"/>
        <v>14.399999999999999</v>
      </c>
      <c r="R22" s="1116">
        <f t="shared" si="34"/>
        <v>16.343999999999461</v>
      </c>
      <c r="S22" s="1096">
        <f t="shared" si="30"/>
        <v>30.74</v>
      </c>
      <c r="T22" s="1104" t="s">
        <v>2811</v>
      </c>
      <c r="U22" s="1444">
        <f>+ROUND(E22*N22*2,2)</f>
        <v>51.24</v>
      </c>
      <c r="V22" s="1651"/>
      <c r="W22" s="1651"/>
      <c r="X22" s="1096">
        <f t="shared" si="15"/>
        <v>2.15</v>
      </c>
      <c r="Y22" s="1096">
        <f t="shared" si="35"/>
        <v>1.08</v>
      </c>
      <c r="Z22" s="1096">
        <f t="shared" si="36"/>
        <v>1.8</v>
      </c>
      <c r="AA22" s="1096">
        <f t="shared" si="37"/>
        <v>1.3</v>
      </c>
      <c r="AB22" s="1096">
        <f t="shared" si="38"/>
        <v>24.409999999999997</v>
      </c>
      <c r="AC22" s="1096">
        <f t="shared" si="39"/>
        <v>6.33</v>
      </c>
      <c r="AD22" s="1097"/>
      <c r="AE22" s="1111"/>
      <c r="AF22" s="1111"/>
      <c r="AG22" s="1111"/>
      <c r="AH22" s="1111"/>
      <c r="AI22" s="1115"/>
      <c r="AJ22" s="1115"/>
      <c r="AK22" s="1647"/>
      <c r="AL22" s="1114">
        <f t="shared" si="40"/>
        <v>2</v>
      </c>
      <c r="AM22" s="1111">
        <f t="shared" si="2"/>
        <v>2.4</v>
      </c>
      <c r="AN22" s="1111">
        <f t="shared" si="41"/>
        <v>12</v>
      </c>
      <c r="AO22" s="1111">
        <f t="shared" si="42"/>
        <v>3.5999999999999996</v>
      </c>
      <c r="AP22" s="1111">
        <f t="shared" si="43"/>
        <v>21.599999999999998</v>
      </c>
    </row>
    <row r="23" spans="1:42" ht="15.75" customHeight="1" x14ac:dyDescent="0.25">
      <c r="A23" s="1654"/>
      <c r="B23" s="1172" t="s">
        <v>2903</v>
      </c>
      <c r="C23" s="1173">
        <v>12</v>
      </c>
      <c r="D23" s="1183">
        <f t="shared" si="3"/>
        <v>0.30000000000000004</v>
      </c>
      <c r="E23" s="1174">
        <v>4.5999999999999996</v>
      </c>
      <c r="F23" s="1104">
        <f t="shared" si="31"/>
        <v>0.7</v>
      </c>
      <c r="G23" s="1115" t="s">
        <v>2810</v>
      </c>
      <c r="H23" s="1180">
        <v>668.5</v>
      </c>
      <c r="I23" s="1180">
        <v>664.32</v>
      </c>
      <c r="J23" s="1469">
        <f t="shared" si="8"/>
        <v>4.17999999999995</v>
      </c>
      <c r="K23" s="1180">
        <v>665.3</v>
      </c>
      <c r="L23" s="1180">
        <v>664.16</v>
      </c>
      <c r="M23" s="1110">
        <f t="shared" si="9"/>
        <v>1.1399999999999864</v>
      </c>
      <c r="N23" s="1443">
        <f t="shared" si="10"/>
        <v>2.6599999999999682</v>
      </c>
      <c r="O23" s="1109">
        <f t="shared" si="28"/>
        <v>0.65999999999996817</v>
      </c>
      <c r="P23" s="1109">
        <f t="shared" si="32"/>
        <v>2</v>
      </c>
      <c r="Q23" s="1116">
        <f t="shared" si="33"/>
        <v>6.4399999999999995</v>
      </c>
      <c r="R23" s="1116">
        <f t="shared" si="34"/>
        <v>2.1251999999998974</v>
      </c>
      <c r="S23" s="1096">
        <f t="shared" si="30"/>
        <v>8.57</v>
      </c>
      <c r="T23" s="1104" t="s">
        <v>2811</v>
      </c>
      <c r="U23" s="1444">
        <f t="shared" ref="U23:U25" si="44">+ROUND(E23*N23*2,2)</f>
        <v>24.47</v>
      </c>
      <c r="V23" s="1651"/>
      <c r="W23" s="1651"/>
      <c r="X23" s="1096">
        <f t="shared" si="15"/>
        <v>0.33</v>
      </c>
      <c r="Y23" s="1096">
        <f t="shared" si="35"/>
        <v>0.48</v>
      </c>
      <c r="Z23" s="1096">
        <f t="shared" si="36"/>
        <v>0.81</v>
      </c>
      <c r="AA23" s="1096">
        <f t="shared" si="37"/>
        <v>0.57999999999999996</v>
      </c>
      <c r="AB23" s="1096">
        <f t="shared" si="38"/>
        <v>6.3699999999999992</v>
      </c>
      <c r="AC23" s="1096">
        <f t="shared" si="39"/>
        <v>2.2000000000000002</v>
      </c>
      <c r="AD23" s="1097">
        <f>+ROUND(E23/5*2,0)</f>
        <v>2</v>
      </c>
      <c r="AE23" s="1111">
        <f>+AD23*1.5*0.7*6</f>
        <v>12.599999999999998</v>
      </c>
      <c r="AF23" s="1111">
        <f>+AD23</f>
        <v>2</v>
      </c>
      <c r="AG23" s="1111">
        <f>+AD23*6*0.18*0.7</f>
        <v>1.512</v>
      </c>
      <c r="AH23" s="1111">
        <f>+AD23*1*0.1</f>
        <v>0.2</v>
      </c>
      <c r="AI23" s="1115">
        <f t="shared" si="26"/>
        <v>0.36</v>
      </c>
      <c r="AJ23" s="1115">
        <f t="shared" si="27"/>
        <v>1.0799999999999998</v>
      </c>
      <c r="AK23" s="1647"/>
      <c r="AL23" s="1114">
        <f t="shared" si="40"/>
        <v>1</v>
      </c>
      <c r="AM23" s="1111">
        <f t="shared" si="2"/>
        <v>0.7</v>
      </c>
      <c r="AN23" s="1111">
        <f t="shared" si="41"/>
        <v>9.1999999999999993</v>
      </c>
      <c r="AO23" s="1111">
        <f t="shared" si="42"/>
        <v>1.05</v>
      </c>
      <c r="AP23" s="1111">
        <f t="shared" si="43"/>
        <v>6.3</v>
      </c>
    </row>
    <row r="24" spans="1:42" ht="15.75" customHeight="1" x14ac:dyDescent="0.25">
      <c r="A24" s="1654"/>
      <c r="B24" s="1172" t="s">
        <v>2904</v>
      </c>
      <c r="C24" s="1173">
        <v>24</v>
      </c>
      <c r="D24" s="1183">
        <f t="shared" si="3"/>
        <v>0.60000000000000009</v>
      </c>
      <c r="E24" s="1174">
        <v>1</v>
      </c>
      <c r="F24" s="1104">
        <f t="shared" si="31"/>
        <v>1.1000000000000001</v>
      </c>
      <c r="G24" s="1115" t="s">
        <v>2810</v>
      </c>
      <c r="H24" s="1180">
        <v>668.5</v>
      </c>
      <c r="I24" s="1180">
        <v>664.32</v>
      </c>
      <c r="J24" s="1469">
        <f t="shared" si="8"/>
        <v>4.17999999999995</v>
      </c>
      <c r="K24" s="1180">
        <v>668.5</v>
      </c>
      <c r="L24" s="1180">
        <v>663.4</v>
      </c>
      <c r="M24" s="1110">
        <f t="shared" si="9"/>
        <v>5.1000000000000227</v>
      </c>
      <c r="N24" s="1443">
        <f t="shared" si="10"/>
        <v>4.6399999999999864</v>
      </c>
      <c r="O24" s="1109">
        <f t="shared" si="28"/>
        <v>2.6399999999999864</v>
      </c>
      <c r="P24" s="1109">
        <f t="shared" si="32"/>
        <v>2</v>
      </c>
      <c r="Q24" s="1116">
        <f t="shared" si="33"/>
        <v>2.2000000000000002</v>
      </c>
      <c r="R24" s="1116">
        <f t="shared" si="34"/>
        <v>2.9039999999999853</v>
      </c>
      <c r="S24" s="1096">
        <f t="shared" si="30"/>
        <v>5.0999999999999996</v>
      </c>
      <c r="T24" s="1104" t="s">
        <v>2811</v>
      </c>
      <c r="U24" s="1444">
        <f t="shared" si="44"/>
        <v>9.2799999999999994</v>
      </c>
      <c r="V24" s="1651"/>
      <c r="W24" s="1651"/>
      <c r="X24" s="1096">
        <f t="shared" si="15"/>
        <v>0.28000000000000003</v>
      </c>
      <c r="Y24" s="1096">
        <f t="shared" si="35"/>
        <v>0.17</v>
      </c>
      <c r="Z24" s="1096">
        <f t="shared" si="36"/>
        <v>0.28000000000000003</v>
      </c>
      <c r="AA24" s="1096">
        <f t="shared" si="37"/>
        <v>0.2</v>
      </c>
      <c r="AB24" s="1096">
        <f t="shared" si="38"/>
        <v>4.169999999999999</v>
      </c>
      <c r="AC24" s="1096">
        <f t="shared" si="39"/>
        <v>0.93000000000000016</v>
      </c>
      <c r="AD24" s="1097"/>
      <c r="AE24" s="1111"/>
      <c r="AF24" s="1111"/>
      <c r="AG24" s="1111"/>
      <c r="AH24" s="1111"/>
      <c r="AI24" s="1115"/>
      <c r="AJ24" s="1115"/>
      <c r="AK24" s="1647"/>
      <c r="AL24" s="1114">
        <f t="shared" si="40"/>
        <v>0</v>
      </c>
      <c r="AM24" s="1111">
        <f t="shared" si="2"/>
        <v>0</v>
      </c>
      <c r="AN24" s="1111">
        <f t="shared" si="41"/>
        <v>2</v>
      </c>
      <c r="AO24" s="1111">
        <f t="shared" si="42"/>
        <v>0</v>
      </c>
      <c r="AP24" s="1111">
        <f t="shared" si="43"/>
        <v>0</v>
      </c>
    </row>
    <row r="25" spans="1:42" ht="15.75" customHeight="1" x14ac:dyDescent="0.25">
      <c r="A25" s="1654"/>
      <c r="B25" s="1172" t="s">
        <v>2905</v>
      </c>
      <c r="C25" s="1173">
        <v>24</v>
      </c>
      <c r="D25" s="1183">
        <f t="shared" si="3"/>
        <v>0.60000000000000009</v>
      </c>
      <c r="E25" s="1174">
        <v>20</v>
      </c>
      <c r="F25" s="1104">
        <f t="shared" si="31"/>
        <v>1.1000000000000001</v>
      </c>
      <c r="G25" s="1115" t="s">
        <v>2810</v>
      </c>
      <c r="H25" s="1180">
        <v>668.5</v>
      </c>
      <c r="I25" s="1180">
        <v>663.4</v>
      </c>
      <c r="J25" s="1469">
        <f t="shared" si="8"/>
        <v>5.1000000000000227</v>
      </c>
      <c r="K25" s="1180">
        <v>663.8</v>
      </c>
      <c r="L25" s="1180">
        <v>662.8</v>
      </c>
      <c r="M25" s="1110">
        <f t="shared" si="9"/>
        <v>1</v>
      </c>
      <c r="N25" s="1443">
        <f t="shared" si="10"/>
        <v>3.0500000000000114</v>
      </c>
      <c r="O25" s="1109">
        <f t="shared" si="28"/>
        <v>1.0500000000000114</v>
      </c>
      <c r="P25" s="1109">
        <f t="shared" si="32"/>
        <v>2</v>
      </c>
      <c r="Q25" s="1116">
        <f t="shared" si="33"/>
        <v>44</v>
      </c>
      <c r="R25" s="1116">
        <f t="shared" si="34"/>
        <v>23.100000000000254</v>
      </c>
      <c r="S25" s="1096">
        <f t="shared" si="30"/>
        <v>67.099999999999994</v>
      </c>
      <c r="T25" s="1104" t="s">
        <v>2811</v>
      </c>
      <c r="U25" s="1444">
        <f t="shared" si="44"/>
        <v>122</v>
      </c>
      <c r="V25" s="1651"/>
      <c r="W25" s="1651"/>
      <c r="X25" s="1096">
        <f t="shared" si="15"/>
        <v>5.65</v>
      </c>
      <c r="Y25" s="1096">
        <f t="shared" si="35"/>
        <v>3.3</v>
      </c>
      <c r="Z25" s="1096">
        <f t="shared" si="36"/>
        <v>5.5</v>
      </c>
      <c r="AA25" s="1096">
        <f t="shared" si="37"/>
        <v>3.96</v>
      </c>
      <c r="AB25" s="1096">
        <f t="shared" si="38"/>
        <v>48.69</v>
      </c>
      <c r="AC25" s="1096">
        <f t="shared" si="39"/>
        <v>18.41</v>
      </c>
      <c r="AD25" s="1097"/>
      <c r="AE25" s="1111"/>
      <c r="AF25" s="1111"/>
      <c r="AG25" s="1111"/>
      <c r="AH25" s="1111"/>
      <c r="AI25" s="1115"/>
      <c r="AJ25" s="1115"/>
      <c r="AK25" s="1647"/>
      <c r="AL25" s="1114">
        <f t="shared" si="40"/>
        <v>5</v>
      </c>
      <c r="AM25" s="1111">
        <f t="shared" si="2"/>
        <v>5.5</v>
      </c>
      <c r="AN25" s="1111">
        <f t="shared" si="41"/>
        <v>40</v>
      </c>
      <c r="AO25" s="1111">
        <f t="shared" si="42"/>
        <v>8.2500000000000018</v>
      </c>
      <c r="AP25" s="1111">
        <f t="shared" si="43"/>
        <v>49.5</v>
      </c>
    </row>
    <row r="26" spans="1:42" ht="15.75" customHeight="1" x14ac:dyDescent="0.25">
      <c r="A26" s="1654"/>
      <c r="B26" s="1172" t="s">
        <v>2883</v>
      </c>
      <c r="C26" s="1173">
        <v>12</v>
      </c>
      <c r="D26" s="1183">
        <f t="shared" si="3"/>
        <v>0.30000000000000004</v>
      </c>
      <c r="E26" s="1174">
        <v>65.650000000000006</v>
      </c>
      <c r="F26" s="1104">
        <f t="shared" si="31"/>
        <v>0.7</v>
      </c>
      <c r="G26" s="1115" t="s">
        <v>2810</v>
      </c>
      <c r="H26" s="1180">
        <v>677.15</v>
      </c>
      <c r="I26" s="1180">
        <v>675.95</v>
      </c>
      <c r="J26" s="1110">
        <f t="shared" si="8"/>
        <v>1.1999999999999318</v>
      </c>
      <c r="K26" s="1180">
        <v>670.95299999999997</v>
      </c>
      <c r="L26" s="1180">
        <v>669.38499999999999</v>
      </c>
      <c r="M26" s="1110">
        <f t="shared" si="9"/>
        <v>1.5679999999999836</v>
      </c>
      <c r="N26" s="1109">
        <f t="shared" si="10"/>
        <v>1.3839999999999577</v>
      </c>
      <c r="O26" s="1109">
        <v>0</v>
      </c>
      <c r="P26" s="1109">
        <f t="shared" si="32"/>
        <v>1.3839999999999577</v>
      </c>
      <c r="Q26" s="1116">
        <f t="shared" si="33"/>
        <v>63.60171999999806</v>
      </c>
      <c r="R26" s="1116">
        <f t="shared" si="34"/>
        <v>0</v>
      </c>
      <c r="S26" s="1096">
        <f t="shared" si="30"/>
        <v>63.6</v>
      </c>
      <c r="T26" s="1104" t="s">
        <v>2811</v>
      </c>
      <c r="U26" s="1096">
        <f>+ROUND(E26*N26*2,2)</f>
        <v>181.72</v>
      </c>
      <c r="V26" s="1651"/>
      <c r="W26" s="1651"/>
      <c r="X26" s="1096">
        <f t="shared" si="15"/>
        <v>4.6399999999999997</v>
      </c>
      <c r="Y26" s="1096">
        <f t="shared" si="35"/>
        <v>6.89</v>
      </c>
      <c r="Z26" s="1096">
        <f t="shared" si="36"/>
        <v>11.49</v>
      </c>
      <c r="AA26" s="1096">
        <f t="shared" si="37"/>
        <v>8.27</v>
      </c>
      <c r="AB26" s="1096">
        <f t="shared" si="38"/>
        <v>32.31</v>
      </c>
      <c r="AC26" s="1096">
        <f t="shared" si="39"/>
        <v>31.29</v>
      </c>
      <c r="AD26" s="1097">
        <f>+ROUND(E26/5*2,0)</f>
        <v>26</v>
      </c>
      <c r="AE26" s="1111">
        <f>+AD26*1.5*0.7*6</f>
        <v>163.79999999999998</v>
      </c>
      <c r="AF26" s="1111">
        <f>+AD26</f>
        <v>26</v>
      </c>
      <c r="AG26" s="1111">
        <f>+AD26*6*0.18*0.7</f>
        <v>19.655999999999999</v>
      </c>
      <c r="AH26" s="1111">
        <f>+AD26*1*0.1</f>
        <v>2.6</v>
      </c>
      <c r="AI26" s="1115">
        <f t="shared" si="26"/>
        <v>4.68</v>
      </c>
      <c r="AJ26" s="1115">
        <f t="shared" si="27"/>
        <v>14.04</v>
      </c>
      <c r="AK26" s="1647"/>
      <c r="AL26" s="1114">
        <f t="shared" si="40"/>
        <v>16</v>
      </c>
      <c r="AM26" s="1111">
        <f t="shared" si="2"/>
        <v>11.2</v>
      </c>
      <c r="AN26" s="1111">
        <f t="shared" si="41"/>
        <v>131.30000000000001</v>
      </c>
      <c r="AO26" s="1111">
        <f t="shared" si="42"/>
        <v>16.8</v>
      </c>
      <c r="AP26" s="1111">
        <f t="shared" si="43"/>
        <v>100.8</v>
      </c>
    </row>
    <row r="27" spans="1:42" ht="15.75" customHeight="1" x14ac:dyDescent="0.25">
      <c r="A27" s="1197"/>
      <c r="B27" s="1175" t="s">
        <v>2884</v>
      </c>
      <c r="C27" s="1173">
        <v>14</v>
      </c>
      <c r="D27" s="1183">
        <f t="shared" si="3"/>
        <v>0.35000000000000003</v>
      </c>
      <c r="E27" s="1176">
        <v>0</v>
      </c>
      <c r="F27" s="1104">
        <f t="shared" si="31"/>
        <v>0.8</v>
      </c>
      <c r="G27" s="1115" t="s">
        <v>2810</v>
      </c>
      <c r="H27" s="1180"/>
      <c r="I27" s="1180"/>
      <c r="J27" s="1110"/>
      <c r="K27" s="1180"/>
      <c r="L27" s="1180"/>
      <c r="M27" s="1110"/>
      <c r="N27" s="1109"/>
      <c r="O27" s="1109"/>
      <c r="P27" s="1109"/>
      <c r="Q27" s="1116"/>
      <c r="R27" s="1116"/>
      <c r="S27" s="1096"/>
      <c r="T27" s="1104"/>
      <c r="U27" s="1096"/>
      <c r="V27" s="1651"/>
      <c r="W27" s="1651"/>
      <c r="X27" s="1096"/>
      <c r="Y27" s="1096"/>
      <c r="Z27" s="1096"/>
      <c r="AA27" s="1096"/>
      <c r="AB27" s="1096"/>
      <c r="AC27" s="1096"/>
      <c r="AD27" s="1097"/>
      <c r="AE27" s="1111"/>
      <c r="AF27" s="1111"/>
      <c r="AG27" s="1111"/>
      <c r="AH27" s="1111"/>
      <c r="AI27" s="1115"/>
      <c r="AJ27" s="1115"/>
      <c r="AK27" s="1647"/>
      <c r="AL27" s="1114"/>
      <c r="AM27" s="1111"/>
      <c r="AN27" s="1111"/>
      <c r="AO27" s="1111"/>
      <c r="AP27" s="1111"/>
    </row>
    <row r="28" spans="1:42" ht="16.5" x14ac:dyDescent="0.3">
      <c r="A28" s="1177"/>
      <c r="B28" s="1175" t="s">
        <v>2885</v>
      </c>
      <c r="C28" s="1173">
        <v>14</v>
      </c>
      <c r="D28" s="1183">
        <f t="shared" si="3"/>
        <v>0.35000000000000003</v>
      </c>
      <c r="E28" s="1176">
        <v>0</v>
      </c>
      <c r="F28" s="1104">
        <f t="shared" si="31"/>
        <v>0.8</v>
      </c>
      <c r="G28" s="1115" t="s">
        <v>2810</v>
      </c>
      <c r="H28" s="1180"/>
      <c r="I28" s="1180"/>
      <c r="J28" s="1110"/>
      <c r="K28" s="1180"/>
      <c r="L28" s="1180"/>
      <c r="M28" s="1110"/>
      <c r="N28" s="1109"/>
      <c r="O28" s="1109"/>
      <c r="P28" s="1109"/>
      <c r="Q28" s="1116"/>
      <c r="R28" s="1116"/>
      <c r="S28" s="1096"/>
      <c r="T28" s="1104"/>
      <c r="U28" s="1096"/>
      <c r="V28" s="1651"/>
      <c r="W28" s="1651"/>
      <c r="X28" s="1096"/>
      <c r="Y28" s="1096"/>
      <c r="Z28" s="1096"/>
      <c r="AA28" s="1096"/>
      <c r="AB28" s="1096"/>
      <c r="AC28" s="1096"/>
      <c r="AD28" s="1097"/>
      <c r="AE28" s="1111"/>
      <c r="AF28" s="1111"/>
      <c r="AG28" s="1111"/>
      <c r="AH28" s="1111"/>
      <c r="AI28" s="1115"/>
      <c r="AJ28" s="1115"/>
      <c r="AK28" s="1647"/>
      <c r="AL28" s="1114"/>
      <c r="AM28" s="1111"/>
      <c r="AN28" s="1111"/>
      <c r="AO28" s="1111"/>
      <c r="AP28" s="1111"/>
    </row>
    <row r="29" spans="1:42" ht="15.75" customHeight="1" x14ac:dyDescent="0.25">
      <c r="A29" s="1648"/>
      <c r="B29" s="1175" t="s">
        <v>2886</v>
      </c>
      <c r="C29" s="1173">
        <v>14</v>
      </c>
      <c r="D29" s="1183">
        <f t="shared" si="3"/>
        <v>0.35000000000000003</v>
      </c>
      <c r="E29" s="1176">
        <v>0</v>
      </c>
      <c r="F29" s="1104">
        <f t="shared" si="31"/>
        <v>0.8</v>
      </c>
      <c r="G29" s="1115" t="s">
        <v>2810</v>
      </c>
      <c r="H29" s="1180"/>
      <c r="I29" s="1180"/>
      <c r="J29" s="1110"/>
      <c r="K29" s="1180"/>
      <c r="L29" s="1180"/>
      <c r="M29" s="1110"/>
      <c r="N29" s="1109"/>
      <c r="O29" s="1109"/>
      <c r="P29" s="1109"/>
      <c r="Q29" s="1116"/>
      <c r="R29" s="1116"/>
      <c r="S29" s="1096"/>
      <c r="T29" s="1104"/>
      <c r="U29" s="1096"/>
      <c r="V29" s="1651"/>
      <c r="W29" s="1651"/>
      <c r="X29" s="1096"/>
      <c r="Y29" s="1096"/>
      <c r="Z29" s="1096"/>
      <c r="AA29" s="1096"/>
      <c r="AB29" s="1096"/>
      <c r="AC29" s="1096"/>
      <c r="AD29" s="1097"/>
      <c r="AE29" s="1111"/>
      <c r="AF29" s="1111"/>
      <c r="AG29" s="1111"/>
      <c r="AH29" s="1111"/>
      <c r="AI29" s="1115"/>
      <c r="AJ29" s="1115"/>
      <c r="AK29" s="1647"/>
      <c r="AL29" s="1114"/>
      <c r="AM29" s="1111"/>
      <c r="AN29" s="1111"/>
      <c r="AO29" s="1111"/>
      <c r="AP29" s="1111"/>
    </row>
    <row r="30" spans="1:42" ht="15.75" x14ac:dyDescent="0.25">
      <c r="A30" s="1648"/>
      <c r="B30" s="1172" t="s">
        <v>2887</v>
      </c>
      <c r="C30" s="1173">
        <v>14</v>
      </c>
      <c r="D30" s="1183">
        <f t="shared" si="3"/>
        <v>0.35000000000000003</v>
      </c>
      <c r="E30" s="1174">
        <v>0</v>
      </c>
      <c r="F30" s="1104">
        <f t="shared" si="31"/>
        <v>0.8</v>
      </c>
      <c r="G30" s="1184" t="s">
        <v>2900</v>
      </c>
      <c r="H30" s="1180">
        <v>727.08</v>
      </c>
      <c r="I30" s="1180">
        <v>725.48</v>
      </c>
      <c r="J30" s="1110">
        <f t="shared" si="8"/>
        <v>1.6000000000000227</v>
      </c>
      <c r="K30" s="1180">
        <v>726.62</v>
      </c>
      <c r="L30" s="1180">
        <v>725.02</v>
      </c>
      <c r="M30" s="1110">
        <f t="shared" si="9"/>
        <v>1.6000000000000227</v>
      </c>
      <c r="N30" s="1109">
        <f t="shared" si="10"/>
        <v>1.6000000000000227</v>
      </c>
      <c r="O30" s="1109">
        <v>0</v>
      </c>
      <c r="P30" s="1109">
        <f t="shared" si="32"/>
        <v>1.6000000000000227</v>
      </c>
      <c r="Q30" s="1116">
        <f t="shared" si="33"/>
        <v>0</v>
      </c>
      <c r="R30" s="1116">
        <f t="shared" si="34"/>
        <v>0</v>
      </c>
      <c r="S30" s="1096">
        <f t="shared" ref="S30:S44" si="45">+ROUND(E30*F30*N30,2)</f>
        <v>0</v>
      </c>
      <c r="T30" s="1104" t="s">
        <v>2811</v>
      </c>
      <c r="U30" s="1096">
        <f t="shared" ref="U30:U44" si="46">+ROUND(E30*N30*2,2)</f>
        <v>0</v>
      </c>
      <c r="V30" s="1651"/>
      <c r="W30" s="1651"/>
      <c r="X30" s="1096">
        <f t="shared" si="15"/>
        <v>0</v>
      </c>
      <c r="Y30" s="1096">
        <f t="shared" ref="Y30:Y44" si="47">+ROUND(E30*F30*0.15,2)</f>
        <v>0</v>
      </c>
      <c r="Z30" s="1096">
        <f t="shared" ref="Z30:Z44" si="48">+ROUND(E30*F30*0.25,2)</f>
        <v>0</v>
      </c>
      <c r="AA30" s="1096">
        <f t="shared" ref="AA30:AA40" si="49">+ROUND(E30*F30*0.18,2)</f>
        <v>0</v>
      </c>
      <c r="AB30" s="1096">
        <f t="shared" si="38"/>
        <v>0</v>
      </c>
      <c r="AC30" s="1096">
        <f t="shared" si="39"/>
        <v>0</v>
      </c>
      <c r="AD30" s="1097">
        <f t="shared" ref="AD30:AD44" si="50">+ROUND(E30/5*2,0)</f>
        <v>0</v>
      </c>
      <c r="AE30" s="1111">
        <f t="shared" ref="AE30:AE44" si="51">+AD30*1.5*0.7*6</f>
        <v>0</v>
      </c>
      <c r="AF30" s="1111">
        <f t="shared" ref="AF30:AF44" si="52">+AD30</f>
        <v>0</v>
      </c>
      <c r="AG30" s="1111"/>
      <c r="AH30" s="1184"/>
      <c r="AI30" s="1115">
        <f t="shared" si="26"/>
        <v>0</v>
      </c>
      <c r="AJ30" s="1115">
        <f t="shared" si="27"/>
        <v>0</v>
      </c>
      <c r="AK30" s="1647"/>
      <c r="AL30" s="1184"/>
      <c r="AM30" s="1111"/>
      <c r="AN30" s="1111"/>
      <c r="AO30" s="1111"/>
      <c r="AP30" s="1111"/>
    </row>
    <row r="31" spans="1:42" ht="15.75" x14ac:dyDescent="0.25">
      <c r="A31" s="1648"/>
      <c r="B31" s="1172" t="s">
        <v>2888</v>
      </c>
      <c r="C31" s="1173">
        <v>14</v>
      </c>
      <c r="D31" s="1183">
        <f t="shared" si="3"/>
        <v>0.35000000000000003</v>
      </c>
      <c r="E31" s="1174">
        <v>0</v>
      </c>
      <c r="F31" s="1104">
        <f t="shared" si="31"/>
        <v>0.8</v>
      </c>
      <c r="G31" s="1184" t="s">
        <v>2900</v>
      </c>
      <c r="H31" s="1180">
        <v>726.62</v>
      </c>
      <c r="I31" s="1180">
        <v>724.98</v>
      </c>
      <c r="J31" s="1110">
        <f t="shared" si="8"/>
        <v>1.6399999999999864</v>
      </c>
      <c r="K31" s="1180">
        <v>723.95</v>
      </c>
      <c r="L31" s="1180">
        <v>722.35</v>
      </c>
      <c r="M31" s="1110">
        <f t="shared" si="9"/>
        <v>1.6000000000000227</v>
      </c>
      <c r="N31" s="1109">
        <f t="shared" si="10"/>
        <v>1.6200000000000045</v>
      </c>
      <c r="O31" s="1109">
        <v>0</v>
      </c>
      <c r="P31" s="1109">
        <f t="shared" si="32"/>
        <v>1.6200000000000045</v>
      </c>
      <c r="Q31" s="1116">
        <f t="shared" si="33"/>
        <v>0</v>
      </c>
      <c r="R31" s="1116">
        <f t="shared" si="34"/>
        <v>0</v>
      </c>
      <c r="S31" s="1096">
        <f t="shared" si="45"/>
        <v>0</v>
      </c>
      <c r="T31" s="1104" t="s">
        <v>2811</v>
      </c>
      <c r="U31" s="1096">
        <f t="shared" si="46"/>
        <v>0</v>
      </c>
      <c r="V31" s="1651"/>
      <c r="W31" s="1651"/>
      <c r="X31" s="1096">
        <f t="shared" si="15"/>
        <v>0</v>
      </c>
      <c r="Y31" s="1096">
        <f t="shared" si="47"/>
        <v>0</v>
      </c>
      <c r="Z31" s="1096">
        <f t="shared" si="48"/>
        <v>0</v>
      </c>
      <c r="AA31" s="1096">
        <f t="shared" si="49"/>
        <v>0</v>
      </c>
      <c r="AB31" s="1096">
        <f t="shared" si="38"/>
        <v>0</v>
      </c>
      <c r="AC31" s="1096">
        <f t="shared" si="39"/>
        <v>0</v>
      </c>
      <c r="AD31" s="1097">
        <f t="shared" si="50"/>
        <v>0</v>
      </c>
      <c r="AE31" s="1111">
        <f t="shared" si="51"/>
        <v>0</v>
      </c>
      <c r="AF31" s="1111">
        <f t="shared" si="52"/>
        <v>0</v>
      </c>
      <c r="AG31" s="1111"/>
      <c r="AH31" s="1184"/>
      <c r="AI31" s="1115">
        <f t="shared" si="26"/>
        <v>0</v>
      </c>
      <c r="AJ31" s="1115">
        <f t="shared" si="27"/>
        <v>0</v>
      </c>
      <c r="AK31" s="1647"/>
      <c r="AL31" s="1184"/>
      <c r="AM31" s="1111"/>
      <c r="AN31" s="1111"/>
      <c r="AO31" s="1111"/>
      <c r="AP31" s="1111"/>
    </row>
    <row r="32" spans="1:42" ht="15.75" x14ac:dyDescent="0.25">
      <c r="A32" s="1648"/>
      <c r="B32" s="1172" t="s">
        <v>2889</v>
      </c>
      <c r="C32" s="1173">
        <v>14</v>
      </c>
      <c r="D32" s="1183">
        <f t="shared" si="3"/>
        <v>0.35000000000000003</v>
      </c>
      <c r="E32" s="1174">
        <v>0</v>
      </c>
      <c r="F32" s="1104">
        <f t="shared" si="31"/>
        <v>0.8</v>
      </c>
      <c r="G32" s="1184" t="s">
        <v>2900</v>
      </c>
      <c r="H32" s="1180">
        <v>723.95</v>
      </c>
      <c r="I32" s="1180">
        <v>722.25</v>
      </c>
      <c r="J32" s="1110">
        <f t="shared" si="8"/>
        <v>1.7000000000000455</v>
      </c>
      <c r="K32" s="1180">
        <v>720.62</v>
      </c>
      <c r="L32" s="1180">
        <v>719.02</v>
      </c>
      <c r="M32" s="1110">
        <f t="shared" si="9"/>
        <v>1.6000000000000227</v>
      </c>
      <c r="N32" s="1109">
        <f t="shared" si="10"/>
        <v>1.6500000000000341</v>
      </c>
      <c r="O32" s="1109">
        <v>0</v>
      </c>
      <c r="P32" s="1109">
        <f t="shared" si="32"/>
        <v>1.6500000000000341</v>
      </c>
      <c r="Q32" s="1116">
        <f t="shared" si="33"/>
        <v>0</v>
      </c>
      <c r="R32" s="1116">
        <f t="shared" si="34"/>
        <v>0</v>
      </c>
      <c r="S32" s="1096">
        <f t="shared" si="45"/>
        <v>0</v>
      </c>
      <c r="T32" s="1104" t="s">
        <v>2811</v>
      </c>
      <c r="U32" s="1096">
        <f t="shared" si="46"/>
        <v>0</v>
      </c>
      <c r="V32" s="1651"/>
      <c r="W32" s="1651"/>
      <c r="X32" s="1096">
        <f t="shared" si="15"/>
        <v>0</v>
      </c>
      <c r="Y32" s="1096">
        <f t="shared" si="47"/>
        <v>0</v>
      </c>
      <c r="Z32" s="1096">
        <f t="shared" si="48"/>
        <v>0</v>
      </c>
      <c r="AA32" s="1096">
        <f t="shared" si="49"/>
        <v>0</v>
      </c>
      <c r="AB32" s="1096">
        <f t="shared" si="38"/>
        <v>0</v>
      </c>
      <c r="AC32" s="1096">
        <f t="shared" si="39"/>
        <v>0</v>
      </c>
      <c r="AD32" s="1097">
        <f t="shared" si="50"/>
        <v>0</v>
      </c>
      <c r="AE32" s="1111">
        <f t="shared" si="51"/>
        <v>0</v>
      </c>
      <c r="AF32" s="1111">
        <f t="shared" si="52"/>
        <v>0</v>
      </c>
      <c r="AG32" s="1111"/>
      <c r="AH32" s="1184"/>
      <c r="AI32" s="1115">
        <f t="shared" si="26"/>
        <v>0</v>
      </c>
      <c r="AJ32" s="1115">
        <f t="shared" si="27"/>
        <v>0</v>
      </c>
      <c r="AK32" s="1647"/>
      <c r="AL32" s="1184"/>
      <c r="AM32" s="1111"/>
      <c r="AN32" s="1111"/>
      <c r="AO32" s="1111"/>
      <c r="AP32" s="1111"/>
    </row>
    <row r="33" spans="1:42" ht="15.75" x14ac:dyDescent="0.25">
      <c r="A33" s="1648"/>
      <c r="B33" s="1172" t="s">
        <v>2890</v>
      </c>
      <c r="C33" s="1173">
        <v>14</v>
      </c>
      <c r="D33" s="1183">
        <f t="shared" si="3"/>
        <v>0.35000000000000003</v>
      </c>
      <c r="E33" s="1174">
        <v>0</v>
      </c>
      <c r="F33" s="1104">
        <f t="shared" si="31"/>
        <v>0.8</v>
      </c>
      <c r="G33" s="1184" t="s">
        <v>2900</v>
      </c>
      <c r="H33" s="1180">
        <v>720.62</v>
      </c>
      <c r="I33" s="1180">
        <v>718.98</v>
      </c>
      <c r="J33" s="1110">
        <f t="shared" si="8"/>
        <v>1.6399999999999864</v>
      </c>
      <c r="K33" s="1180">
        <v>717.11</v>
      </c>
      <c r="L33" s="1180">
        <v>715.51</v>
      </c>
      <c r="M33" s="1110">
        <f t="shared" si="9"/>
        <v>1.6000000000000227</v>
      </c>
      <c r="N33" s="1109">
        <f t="shared" si="10"/>
        <v>1.6200000000000045</v>
      </c>
      <c r="O33" s="1109">
        <v>0</v>
      </c>
      <c r="P33" s="1109">
        <f t="shared" si="32"/>
        <v>1.6200000000000045</v>
      </c>
      <c r="Q33" s="1116">
        <f t="shared" si="33"/>
        <v>0</v>
      </c>
      <c r="R33" s="1116">
        <f t="shared" si="34"/>
        <v>0</v>
      </c>
      <c r="S33" s="1096">
        <f t="shared" si="45"/>
        <v>0</v>
      </c>
      <c r="T33" s="1104" t="s">
        <v>2811</v>
      </c>
      <c r="U33" s="1096">
        <f t="shared" si="46"/>
        <v>0</v>
      </c>
      <c r="V33" s="1651"/>
      <c r="W33" s="1651"/>
      <c r="X33" s="1096">
        <f t="shared" si="15"/>
        <v>0</v>
      </c>
      <c r="Y33" s="1096">
        <f t="shared" si="47"/>
        <v>0</v>
      </c>
      <c r="Z33" s="1096">
        <f t="shared" si="48"/>
        <v>0</v>
      </c>
      <c r="AA33" s="1096">
        <f t="shared" si="49"/>
        <v>0</v>
      </c>
      <c r="AB33" s="1096">
        <f t="shared" si="38"/>
        <v>0</v>
      </c>
      <c r="AC33" s="1096">
        <f t="shared" si="39"/>
        <v>0</v>
      </c>
      <c r="AD33" s="1097">
        <f t="shared" si="50"/>
        <v>0</v>
      </c>
      <c r="AE33" s="1111">
        <f t="shared" si="51"/>
        <v>0</v>
      </c>
      <c r="AF33" s="1111">
        <f t="shared" si="52"/>
        <v>0</v>
      </c>
      <c r="AG33" s="1111"/>
      <c r="AH33" s="1184"/>
      <c r="AI33" s="1115">
        <f t="shared" si="26"/>
        <v>0</v>
      </c>
      <c r="AJ33" s="1115">
        <f t="shared" si="27"/>
        <v>0</v>
      </c>
      <c r="AK33" s="1647"/>
      <c r="AL33" s="1184"/>
      <c r="AM33" s="1111"/>
      <c r="AN33" s="1111"/>
      <c r="AO33" s="1111"/>
      <c r="AP33" s="1111"/>
    </row>
    <row r="34" spans="1:42" ht="15.75" x14ac:dyDescent="0.25">
      <c r="A34" s="1648"/>
      <c r="B34" s="1172" t="s">
        <v>2891</v>
      </c>
      <c r="C34" s="1173">
        <v>14</v>
      </c>
      <c r="D34" s="1183">
        <f t="shared" si="3"/>
        <v>0.35000000000000003</v>
      </c>
      <c r="E34" s="1174">
        <v>0</v>
      </c>
      <c r="F34" s="1104">
        <f t="shared" si="31"/>
        <v>0.8</v>
      </c>
      <c r="G34" s="1184" t="s">
        <v>2900</v>
      </c>
      <c r="H34" s="1180">
        <v>717.11</v>
      </c>
      <c r="I34" s="1180">
        <v>715.41</v>
      </c>
      <c r="J34" s="1110">
        <f t="shared" si="8"/>
        <v>1.7000000000000455</v>
      </c>
      <c r="K34" s="1180">
        <v>714</v>
      </c>
      <c r="L34" s="1180">
        <v>712.4</v>
      </c>
      <c r="M34" s="1110">
        <f t="shared" si="9"/>
        <v>1.6000000000000227</v>
      </c>
      <c r="N34" s="1109">
        <f t="shared" si="10"/>
        <v>1.6500000000000341</v>
      </c>
      <c r="O34" s="1109">
        <v>0</v>
      </c>
      <c r="P34" s="1109">
        <f t="shared" si="32"/>
        <v>1.6500000000000341</v>
      </c>
      <c r="Q34" s="1116">
        <f t="shared" si="33"/>
        <v>0</v>
      </c>
      <c r="R34" s="1116">
        <f t="shared" si="34"/>
        <v>0</v>
      </c>
      <c r="S34" s="1096">
        <f t="shared" si="45"/>
        <v>0</v>
      </c>
      <c r="T34" s="1104" t="s">
        <v>2811</v>
      </c>
      <c r="U34" s="1096">
        <f t="shared" si="46"/>
        <v>0</v>
      </c>
      <c r="V34" s="1651"/>
      <c r="W34" s="1651"/>
      <c r="X34" s="1096">
        <f t="shared" si="15"/>
        <v>0</v>
      </c>
      <c r="Y34" s="1096">
        <f t="shared" si="47"/>
        <v>0</v>
      </c>
      <c r="Z34" s="1096">
        <f t="shared" si="48"/>
        <v>0</v>
      </c>
      <c r="AA34" s="1096">
        <f t="shared" si="49"/>
        <v>0</v>
      </c>
      <c r="AB34" s="1096">
        <f t="shared" si="38"/>
        <v>0</v>
      </c>
      <c r="AC34" s="1096">
        <f t="shared" si="39"/>
        <v>0</v>
      </c>
      <c r="AD34" s="1097">
        <f t="shared" si="50"/>
        <v>0</v>
      </c>
      <c r="AE34" s="1111">
        <f t="shared" si="51"/>
        <v>0</v>
      </c>
      <c r="AF34" s="1111">
        <f t="shared" si="52"/>
        <v>0</v>
      </c>
      <c r="AG34" s="1111"/>
      <c r="AH34" s="1184"/>
      <c r="AI34" s="1115">
        <f t="shared" si="26"/>
        <v>0</v>
      </c>
      <c r="AJ34" s="1115">
        <f t="shared" si="27"/>
        <v>0</v>
      </c>
      <c r="AK34" s="1647"/>
      <c r="AL34" s="1184"/>
      <c r="AM34" s="1111"/>
      <c r="AN34" s="1111"/>
      <c r="AO34" s="1111"/>
      <c r="AP34" s="1111"/>
    </row>
    <row r="35" spans="1:42" ht="15.75" x14ac:dyDescent="0.25">
      <c r="A35" s="1648"/>
      <c r="B35" s="1172" t="s">
        <v>2892</v>
      </c>
      <c r="C35" s="1173">
        <v>14</v>
      </c>
      <c r="D35" s="1183">
        <f t="shared" si="3"/>
        <v>0.35000000000000003</v>
      </c>
      <c r="E35" s="1174">
        <v>0</v>
      </c>
      <c r="F35" s="1104">
        <f t="shared" si="31"/>
        <v>0.8</v>
      </c>
      <c r="G35" s="1184" t="s">
        <v>2900</v>
      </c>
      <c r="H35" s="1180">
        <v>714</v>
      </c>
      <c r="I35" s="1180">
        <v>712.4</v>
      </c>
      <c r="J35" s="1110">
        <f t="shared" si="8"/>
        <v>1.6000000000000227</v>
      </c>
      <c r="K35" s="1180">
        <v>712.02</v>
      </c>
      <c r="L35" s="1180">
        <v>710.42</v>
      </c>
      <c r="M35" s="1110">
        <f t="shared" si="9"/>
        <v>1.6000000000000227</v>
      </c>
      <c r="N35" s="1109">
        <f t="shared" si="10"/>
        <v>1.6000000000000227</v>
      </c>
      <c r="O35" s="1109">
        <v>0</v>
      </c>
      <c r="P35" s="1109">
        <f t="shared" si="32"/>
        <v>1.6000000000000227</v>
      </c>
      <c r="Q35" s="1116">
        <f t="shared" si="33"/>
        <v>0</v>
      </c>
      <c r="R35" s="1116">
        <f t="shared" si="34"/>
        <v>0</v>
      </c>
      <c r="S35" s="1096">
        <f t="shared" si="45"/>
        <v>0</v>
      </c>
      <c r="T35" s="1104" t="s">
        <v>2811</v>
      </c>
      <c r="U35" s="1096">
        <f t="shared" si="46"/>
        <v>0</v>
      </c>
      <c r="V35" s="1651"/>
      <c r="W35" s="1651"/>
      <c r="X35" s="1096">
        <f t="shared" si="15"/>
        <v>0</v>
      </c>
      <c r="Y35" s="1096">
        <f t="shared" si="47"/>
        <v>0</v>
      </c>
      <c r="Z35" s="1096">
        <f t="shared" si="48"/>
        <v>0</v>
      </c>
      <c r="AA35" s="1096">
        <f t="shared" si="49"/>
        <v>0</v>
      </c>
      <c r="AB35" s="1096">
        <f t="shared" si="38"/>
        <v>0</v>
      </c>
      <c r="AC35" s="1096">
        <f t="shared" si="39"/>
        <v>0</v>
      </c>
      <c r="AD35" s="1097">
        <f t="shared" si="50"/>
        <v>0</v>
      </c>
      <c r="AE35" s="1111">
        <f t="shared" si="51"/>
        <v>0</v>
      </c>
      <c r="AF35" s="1111">
        <f t="shared" si="52"/>
        <v>0</v>
      </c>
      <c r="AG35" s="1111"/>
      <c r="AH35" s="1184"/>
      <c r="AI35" s="1115">
        <f t="shared" si="26"/>
        <v>0</v>
      </c>
      <c r="AJ35" s="1115">
        <f t="shared" si="27"/>
        <v>0</v>
      </c>
      <c r="AK35" s="1647"/>
      <c r="AL35" s="1184"/>
      <c r="AM35" s="1111"/>
      <c r="AN35" s="1111"/>
      <c r="AO35" s="1111"/>
      <c r="AP35" s="1111"/>
    </row>
    <row r="36" spans="1:42" s="1462" customFormat="1" ht="15.75" customHeight="1" x14ac:dyDescent="0.25">
      <c r="A36" s="1467" t="s">
        <v>2313</v>
      </c>
      <c r="B36" s="1447" t="s">
        <v>2893</v>
      </c>
      <c r="C36" s="1448">
        <v>10</v>
      </c>
      <c r="D36" s="1449">
        <f t="shared" si="3"/>
        <v>0.25</v>
      </c>
      <c r="E36" s="1450">
        <v>65.08</v>
      </c>
      <c r="F36" s="1451">
        <f t="shared" si="31"/>
        <v>0.7</v>
      </c>
      <c r="G36" s="1452" t="s">
        <v>2900</v>
      </c>
      <c r="H36" s="1464">
        <v>709.79600000000005</v>
      </c>
      <c r="I36" s="1464">
        <v>708.49599999999998</v>
      </c>
      <c r="J36" s="1454">
        <f t="shared" si="8"/>
        <v>1.3000000000000682</v>
      </c>
      <c r="K36" s="1464">
        <v>705.03399999999999</v>
      </c>
      <c r="L36" s="1464">
        <v>703.94</v>
      </c>
      <c r="M36" s="1454">
        <f t="shared" si="9"/>
        <v>1.0939999999999372</v>
      </c>
      <c r="N36" s="1456">
        <f t="shared" si="10"/>
        <v>1.1970000000000027</v>
      </c>
      <c r="O36" s="1456">
        <v>0</v>
      </c>
      <c r="P36" s="1456">
        <f t="shared" si="32"/>
        <v>1.1970000000000027</v>
      </c>
      <c r="Q36" s="1457">
        <f t="shared" si="33"/>
        <v>54.530532000000122</v>
      </c>
      <c r="R36" s="1457">
        <f t="shared" si="34"/>
        <v>0</v>
      </c>
      <c r="S36" s="1458">
        <f t="shared" si="45"/>
        <v>54.53</v>
      </c>
      <c r="T36" s="1451" t="s">
        <v>2811</v>
      </c>
      <c r="U36" s="1458">
        <f t="shared" si="46"/>
        <v>155.80000000000001</v>
      </c>
      <c r="V36" s="1651"/>
      <c r="W36" s="1651"/>
      <c r="X36" s="1458">
        <f t="shared" si="15"/>
        <v>3.19</v>
      </c>
      <c r="Y36" s="1458">
        <f t="shared" si="47"/>
        <v>6.83</v>
      </c>
      <c r="Z36" s="1458">
        <f t="shared" si="48"/>
        <v>11.39</v>
      </c>
      <c r="AA36" s="1458">
        <f t="shared" si="49"/>
        <v>8.1999999999999993</v>
      </c>
      <c r="AB36" s="1458">
        <f t="shared" si="38"/>
        <v>24.920000000000005</v>
      </c>
      <c r="AC36" s="1458">
        <f t="shared" si="39"/>
        <v>29.61</v>
      </c>
      <c r="AD36" s="1459">
        <f t="shared" si="50"/>
        <v>26</v>
      </c>
      <c r="AE36" s="1460">
        <f t="shared" si="51"/>
        <v>163.79999999999998</v>
      </c>
      <c r="AF36" s="1460">
        <f t="shared" si="52"/>
        <v>26</v>
      </c>
      <c r="AG36" s="1460"/>
      <c r="AH36" s="1452"/>
      <c r="AI36" s="1452">
        <f t="shared" si="26"/>
        <v>4.68</v>
      </c>
      <c r="AJ36" s="1452">
        <f t="shared" si="27"/>
        <v>14.04</v>
      </c>
      <c r="AK36" s="1647"/>
      <c r="AL36" s="1452"/>
      <c r="AM36" s="1460"/>
      <c r="AN36" s="1460"/>
      <c r="AO36" s="1460"/>
      <c r="AP36" s="1460"/>
    </row>
    <row r="37" spans="1:42" s="1462" customFormat="1" ht="15.75" customHeight="1" x14ac:dyDescent="0.25">
      <c r="A37" s="1649" t="s">
        <v>2312</v>
      </c>
      <c r="B37" s="1447" t="s">
        <v>2894</v>
      </c>
      <c r="C37" s="1448">
        <v>10</v>
      </c>
      <c r="D37" s="1449">
        <f t="shared" si="3"/>
        <v>0.25</v>
      </c>
      <c r="E37" s="1450">
        <v>30.22</v>
      </c>
      <c r="F37" s="1451">
        <f t="shared" si="31"/>
        <v>0.7</v>
      </c>
      <c r="G37" s="1452" t="s">
        <v>2900</v>
      </c>
      <c r="H37" s="1464">
        <v>715.02</v>
      </c>
      <c r="I37" s="1464">
        <v>713.72</v>
      </c>
      <c r="J37" s="1454">
        <f t="shared" si="8"/>
        <v>1.2999999999999545</v>
      </c>
      <c r="K37" s="1464">
        <v>715.25</v>
      </c>
      <c r="L37" s="1464">
        <v>713.11</v>
      </c>
      <c r="M37" s="1454">
        <f t="shared" si="9"/>
        <v>2.1399999999999864</v>
      </c>
      <c r="N37" s="1456">
        <f t="shared" si="10"/>
        <v>1.7199999999999704</v>
      </c>
      <c r="O37" s="1456">
        <v>0</v>
      </c>
      <c r="P37" s="1456">
        <f t="shared" si="32"/>
        <v>1.7199999999999704</v>
      </c>
      <c r="Q37" s="1457">
        <f t="shared" si="33"/>
        <v>36.38487999999937</v>
      </c>
      <c r="R37" s="1457">
        <f t="shared" si="34"/>
        <v>0</v>
      </c>
      <c r="S37" s="1458">
        <f t="shared" si="45"/>
        <v>36.380000000000003</v>
      </c>
      <c r="T37" s="1451" t="s">
        <v>2811</v>
      </c>
      <c r="U37" s="1458">
        <f t="shared" si="46"/>
        <v>103.96</v>
      </c>
      <c r="V37" s="1651"/>
      <c r="W37" s="1651"/>
      <c r="X37" s="1458">
        <f t="shared" si="15"/>
        <v>1.48</v>
      </c>
      <c r="Y37" s="1458">
        <f t="shared" si="47"/>
        <v>3.17</v>
      </c>
      <c r="Z37" s="1458">
        <f t="shared" si="48"/>
        <v>5.29</v>
      </c>
      <c r="AA37" s="1458">
        <f t="shared" si="49"/>
        <v>3.81</v>
      </c>
      <c r="AB37" s="1458">
        <f t="shared" si="38"/>
        <v>22.630000000000006</v>
      </c>
      <c r="AC37" s="1458">
        <f t="shared" si="39"/>
        <v>13.750000000000002</v>
      </c>
      <c r="AD37" s="1459">
        <f t="shared" si="50"/>
        <v>12</v>
      </c>
      <c r="AE37" s="1460">
        <f t="shared" si="51"/>
        <v>75.599999999999994</v>
      </c>
      <c r="AF37" s="1460">
        <f t="shared" si="52"/>
        <v>12</v>
      </c>
      <c r="AG37" s="1460"/>
      <c r="AH37" s="1452"/>
      <c r="AI37" s="1452">
        <f t="shared" si="26"/>
        <v>2.1599999999999997</v>
      </c>
      <c r="AJ37" s="1452">
        <f t="shared" si="27"/>
        <v>6.4799999999999995</v>
      </c>
      <c r="AK37" s="1647"/>
      <c r="AL37" s="1452"/>
      <c r="AM37" s="1460"/>
      <c r="AN37" s="1460"/>
      <c r="AO37" s="1460"/>
      <c r="AP37" s="1460"/>
    </row>
    <row r="38" spans="1:42" s="1462" customFormat="1" ht="15.75" customHeight="1" x14ac:dyDescent="0.25">
      <c r="A38" s="1650"/>
      <c r="B38" s="1447" t="s">
        <v>2895</v>
      </c>
      <c r="C38" s="1448">
        <v>10</v>
      </c>
      <c r="D38" s="1449">
        <f t="shared" si="3"/>
        <v>0.25</v>
      </c>
      <c r="E38" s="1450">
        <v>39.04</v>
      </c>
      <c r="F38" s="1451">
        <f t="shared" si="31"/>
        <v>0.7</v>
      </c>
      <c r="G38" s="1452" t="s">
        <v>2900</v>
      </c>
      <c r="H38" s="1464">
        <v>715.02</v>
      </c>
      <c r="I38" s="1464">
        <v>713.72</v>
      </c>
      <c r="J38" s="1454">
        <f t="shared" si="8"/>
        <v>1.2999999999999545</v>
      </c>
      <c r="K38" s="1464">
        <v>713.42</v>
      </c>
      <c r="L38" s="1464">
        <v>712.16</v>
      </c>
      <c r="M38" s="1454">
        <f t="shared" si="9"/>
        <v>1.2599999999999909</v>
      </c>
      <c r="N38" s="1456">
        <f t="shared" si="10"/>
        <v>1.2799999999999727</v>
      </c>
      <c r="O38" s="1456">
        <v>0</v>
      </c>
      <c r="P38" s="1456">
        <f t="shared" si="32"/>
        <v>1.2799999999999727</v>
      </c>
      <c r="Q38" s="1457">
        <f t="shared" si="33"/>
        <v>34.97983999999925</v>
      </c>
      <c r="R38" s="1457">
        <f t="shared" si="34"/>
        <v>0</v>
      </c>
      <c r="S38" s="1458">
        <f t="shared" si="45"/>
        <v>34.979999999999997</v>
      </c>
      <c r="T38" s="1451" t="s">
        <v>2811</v>
      </c>
      <c r="U38" s="1458">
        <f t="shared" si="46"/>
        <v>99.94</v>
      </c>
      <c r="V38" s="1651"/>
      <c r="W38" s="1651"/>
      <c r="X38" s="1458">
        <f t="shared" si="15"/>
        <v>1.92</v>
      </c>
      <c r="Y38" s="1458">
        <f t="shared" si="47"/>
        <v>4.0999999999999996</v>
      </c>
      <c r="Z38" s="1458">
        <f t="shared" si="48"/>
        <v>6.83</v>
      </c>
      <c r="AA38" s="1458">
        <f t="shared" si="49"/>
        <v>4.92</v>
      </c>
      <c r="AB38" s="1458">
        <f t="shared" si="38"/>
        <v>17.209999999999994</v>
      </c>
      <c r="AC38" s="1458">
        <f t="shared" si="39"/>
        <v>17.77</v>
      </c>
      <c r="AD38" s="1459">
        <f t="shared" si="50"/>
        <v>16</v>
      </c>
      <c r="AE38" s="1460">
        <f t="shared" si="51"/>
        <v>100.79999999999998</v>
      </c>
      <c r="AF38" s="1460">
        <f t="shared" si="52"/>
        <v>16</v>
      </c>
      <c r="AG38" s="1460"/>
      <c r="AH38" s="1452"/>
      <c r="AI38" s="1452">
        <f>+AD38*0.6*6*0.05</f>
        <v>2.88</v>
      </c>
      <c r="AJ38" s="1452">
        <f t="shared" si="27"/>
        <v>8.6399999999999988</v>
      </c>
      <c r="AK38" s="1647"/>
      <c r="AL38" s="1452"/>
      <c r="AM38" s="1460"/>
      <c r="AN38" s="1460"/>
      <c r="AO38" s="1460"/>
      <c r="AP38" s="1460"/>
    </row>
    <row r="39" spans="1:42" s="1462" customFormat="1" ht="15.75" customHeight="1" x14ac:dyDescent="0.25">
      <c r="A39" s="1468" t="s">
        <v>2906</v>
      </c>
      <c r="B39" s="1447" t="s">
        <v>2896</v>
      </c>
      <c r="C39" s="1448">
        <v>12</v>
      </c>
      <c r="D39" s="1449">
        <f t="shared" si="3"/>
        <v>0.30000000000000004</v>
      </c>
      <c r="E39" s="1450">
        <v>71.599999999999994</v>
      </c>
      <c r="F39" s="1451">
        <f t="shared" si="31"/>
        <v>0.7</v>
      </c>
      <c r="G39" s="1452" t="s">
        <v>2900</v>
      </c>
      <c r="H39" s="1464">
        <v>720.11</v>
      </c>
      <c r="I39" s="1464">
        <v>718.2</v>
      </c>
      <c r="J39" s="1469">
        <f t="shared" si="8"/>
        <v>1.9099999999999682</v>
      </c>
      <c r="K39" s="1464">
        <v>717.45</v>
      </c>
      <c r="L39" s="1464">
        <v>715.53499999999997</v>
      </c>
      <c r="M39" s="1454">
        <f t="shared" si="9"/>
        <v>1.9150000000000773</v>
      </c>
      <c r="N39" s="1456">
        <f t="shared" si="10"/>
        <v>1.9125000000000227</v>
      </c>
      <c r="O39" s="1456">
        <v>0</v>
      </c>
      <c r="P39" s="1456">
        <f t="shared" si="32"/>
        <v>1.9125000000000227</v>
      </c>
      <c r="Q39" s="1457">
        <f t="shared" si="33"/>
        <v>95.854500000001124</v>
      </c>
      <c r="R39" s="1457">
        <f t="shared" si="34"/>
        <v>0</v>
      </c>
      <c r="S39" s="1458">
        <f t="shared" si="45"/>
        <v>95.85</v>
      </c>
      <c r="T39" s="1451" t="s">
        <v>2811</v>
      </c>
      <c r="U39" s="1458">
        <f t="shared" si="46"/>
        <v>273.87</v>
      </c>
      <c r="V39" s="1651"/>
      <c r="W39" s="1651"/>
      <c r="X39" s="1458">
        <f t="shared" si="15"/>
        <v>5.0599999999999996</v>
      </c>
      <c r="Y39" s="1458">
        <f t="shared" si="47"/>
        <v>7.52</v>
      </c>
      <c r="Z39" s="1458">
        <f t="shared" si="48"/>
        <v>12.53</v>
      </c>
      <c r="AA39" s="1458">
        <f t="shared" si="49"/>
        <v>9.02</v>
      </c>
      <c r="AB39" s="1458">
        <f t="shared" si="38"/>
        <v>61.72</v>
      </c>
      <c r="AC39" s="1458">
        <f t="shared" si="39"/>
        <v>34.129999999999995</v>
      </c>
      <c r="AD39" s="1459">
        <f t="shared" si="50"/>
        <v>29</v>
      </c>
      <c r="AE39" s="1460">
        <f t="shared" si="51"/>
        <v>182.7</v>
      </c>
      <c r="AF39" s="1460">
        <f t="shared" si="52"/>
        <v>29</v>
      </c>
      <c r="AG39" s="1460"/>
      <c r="AH39" s="1452"/>
      <c r="AI39" s="1452">
        <f t="shared" si="26"/>
        <v>5.22</v>
      </c>
      <c r="AJ39" s="1452">
        <f t="shared" si="27"/>
        <v>15.659999999999998</v>
      </c>
      <c r="AK39" s="1647"/>
      <c r="AL39" s="1452"/>
      <c r="AM39" s="1460"/>
      <c r="AN39" s="1460"/>
      <c r="AO39" s="1460"/>
      <c r="AP39" s="1460"/>
    </row>
    <row r="40" spans="1:42" ht="16.5" x14ac:dyDescent="0.25">
      <c r="A40" s="1178"/>
      <c r="B40" s="1179" t="s">
        <v>2897</v>
      </c>
      <c r="C40" s="1173">
        <v>18</v>
      </c>
      <c r="D40" s="1183">
        <f t="shared" si="3"/>
        <v>0.45</v>
      </c>
      <c r="E40" s="1174">
        <v>0</v>
      </c>
      <c r="F40" s="1104">
        <f t="shared" si="31"/>
        <v>0.9</v>
      </c>
      <c r="G40" s="1115" t="s">
        <v>2810</v>
      </c>
      <c r="H40" s="1180">
        <v>705.03399999999999</v>
      </c>
      <c r="I40" s="1180">
        <v>703.13499999999999</v>
      </c>
      <c r="J40" s="1110">
        <f t="shared" si="8"/>
        <v>1.8990000000000009</v>
      </c>
      <c r="K40" s="1180">
        <v>700.67</v>
      </c>
      <c r="L40" s="1180">
        <v>698.31899999999996</v>
      </c>
      <c r="M40" s="1110">
        <f>+K40-L40</f>
        <v>2.3509999999999991</v>
      </c>
      <c r="N40" s="1109">
        <f t="shared" si="10"/>
        <v>2.125</v>
      </c>
      <c r="O40" s="1109">
        <f t="shared" si="28"/>
        <v>0.125</v>
      </c>
      <c r="P40" s="1109">
        <f t="shared" si="32"/>
        <v>2</v>
      </c>
      <c r="Q40" s="1116">
        <f t="shared" si="33"/>
        <v>0</v>
      </c>
      <c r="R40" s="1116">
        <f t="shared" si="34"/>
        <v>0</v>
      </c>
      <c r="S40" s="1096">
        <f t="shared" si="45"/>
        <v>0</v>
      </c>
      <c r="T40" s="1104" t="s">
        <v>2811</v>
      </c>
      <c r="U40" s="1096">
        <f t="shared" si="46"/>
        <v>0</v>
      </c>
      <c r="V40" s="1651"/>
      <c r="W40" s="1651"/>
      <c r="X40" s="1096">
        <f t="shared" si="15"/>
        <v>0</v>
      </c>
      <c r="Y40" s="1096">
        <f t="shared" si="47"/>
        <v>0</v>
      </c>
      <c r="Z40" s="1096">
        <f t="shared" si="48"/>
        <v>0</v>
      </c>
      <c r="AA40" s="1096">
        <f t="shared" si="49"/>
        <v>0</v>
      </c>
      <c r="AB40" s="1096">
        <f t="shared" si="38"/>
        <v>0</v>
      </c>
      <c r="AC40" s="1096">
        <f t="shared" si="39"/>
        <v>0</v>
      </c>
      <c r="AD40" s="1097">
        <f t="shared" si="50"/>
        <v>0</v>
      </c>
      <c r="AE40" s="1111">
        <f t="shared" si="51"/>
        <v>0</v>
      </c>
      <c r="AF40" s="1111">
        <f t="shared" si="52"/>
        <v>0</v>
      </c>
      <c r="AG40" s="1111">
        <f>+AD40*6*0.18*0.7</f>
        <v>0</v>
      </c>
      <c r="AH40" s="1111">
        <f>+AD40*1*0.1</f>
        <v>0</v>
      </c>
      <c r="AI40" s="1115">
        <f t="shared" si="26"/>
        <v>0</v>
      </c>
      <c r="AJ40" s="1115">
        <f t="shared" si="27"/>
        <v>0</v>
      </c>
      <c r="AK40" s="1647"/>
      <c r="AL40" s="1114">
        <f>+ROUND(E40/4,0)</f>
        <v>0</v>
      </c>
      <c r="AM40" s="1111">
        <f>+AL40*F40</f>
        <v>0</v>
      </c>
      <c r="AN40" s="1111">
        <f>+E40*2</f>
        <v>0</v>
      </c>
      <c r="AO40" s="1111">
        <f t="shared" si="42"/>
        <v>0</v>
      </c>
      <c r="AP40" s="1111">
        <f t="shared" si="43"/>
        <v>0</v>
      </c>
    </row>
    <row r="41" spans="1:42" ht="15.75" x14ac:dyDescent="0.25">
      <c r="A41" s="1637"/>
      <c r="B41" s="1179" t="s">
        <v>2898</v>
      </c>
      <c r="C41" s="1173">
        <v>10</v>
      </c>
      <c r="D41" s="1183">
        <f t="shared" si="3"/>
        <v>0.25</v>
      </c>
      <c r="E41" s="1174">
        <v>0</v>
      </c>
      <c r="F41" s="1104">
        <f t="shared" si="31"/>
        <v>0.7</v>
      </c>
      <c r="G41" s="1184" t="s">
        <v>2907</v>
      </c>
      <c r="H41" s="1180">
        <v>780.4</v>
      </c>
      <c r="I41" s="1180">
        <v>780</v>
      </c>
      <c r="J41" s="1110">
        <f t="shared" si="8"/>
        <v>0.39999999999997726</v>
      </c>
      <c r="K41" s="1180">
        <v>780.2</v>
      </c>
      <c r="L41" s="1180">
        <v>779.7</v>
      </c>
      <c r="M41" s="1110">
        <f t="shared" si="9"/>
        <v>0.5</v>
      </c>
      <c r="N41" s="1109">
        <f t="shared" si="10"/>
        <v>0.44999999999998863</v>
      </c>
      <c r="O41" s="1109">
        <v>0</v>
      </c>
      <c r="P41" s="1109">
        <f t="shared" si="32"/>
        <v>0.44999999999998863</v>
      </c>
      <c r="Q41" s="1116">
        <f t="shared" si="33"/>
        <v>0</v>
      </c>
      <c r="R41" s="1116">
        <f t="shared" si="34"/>
        <v>0</v>
      </c>
      <c r="S41" s="1096">
        <f t="shared" si="45"/>
        <v>0</v>
      </c>
      <c r="T41" s="1104" t="s">
        <v>2811</v>
      </c>
      <c r="U41" s="1096">
        <f t="shared" si="46"/>
        <v>0</v>
      </c>
      <c r="V41" s="1651"/>
      <c r="W41" s="1651"/>
      <c r="X41" s="1096">
        <f t="shared" si="15"/>
        <v>0</v>
      </c>
      <c r="Y41" s="1096">
        <f t="shared" si="47"/>
        <v>0</v>
      </c>
      <c r="Z41" s="1096">
        <f t="shared" si="48"/>
        <v>0</v>
      </c>
      <c r="AA41" s="1096"/>
      <c r="AB41" s="1096">
        <f t="shared" si="38"/>
        <v>0</v>
      </c>
      <c r="AC41" s="1096">
        <f t="shared" si="39"/>
        <v>0</v>
      </c>
      <c r="AD41" s="1097">
        <f t="shared" si="50"/>
        <v>0</v>
      </c>
      <c r="AE41" s="1111">
        <f t="shared" si="51"/>
        <v>0</v>
      </c>
      <c r="AF41" s="1111">
        <f t="shared" si="52"/>
        <v>0</v>
      </c>
      <c r="AG41" s="1184"/>
      <c r="AH41" s="1111">
        <f>+AD41*1*0.1</f>
        <v>0</v>
      </c>
      <c r="AI41" s="1115">
        <f t="shared" si="26"/>
        <v>0</v>
      </c>
      <c r="AJ41" s="1115">
        <f t="shared" si="27"/>
        <v>0</v>
      </c>
      <c r="AK41" s="1647"/>
      <c r="AL41" s="1114">
        <f>+ROUND(E41/4,0)</f>
        <v>0</v>
      </c>
      <c r="AM41" s="1111">
        <f>+AL41*F41</f>
        <v>0</v>
      </c>
      <c r="AN41" s="1111">
        <f>+E41*2</f>
        <v>0</v>
      </c>
      <c r="AO41" s="1111">
        <f t="shared" si="42"/>
        <v>0</v>
      </c>
      <c r="AP41" s="1111">
        <f t="shared" si="43"/>
        <v>0</v>
      </c>
    </row>
    <row r="42" spans="1:42" ht="15.75" x14ac:dyDescent="0.25">
      <c r="A42" s="1638"/>
      <c r="B42" s="1179" t="s">
        <v>2899</v>
      </c>
      <c r="C42" s="1173">
        <v>10</v>
      </c>
      <c r="D42" s="1183">
        <f t="shared" si="3"/>
        <v>0.25</v>
      </c>
      <c r="E42" s="1174">
        <v>0</v>
      </c>
      <c r="F42" s="1104">
        <f t="shared" si="31"/>
        <v>0.7</v>
      </c>
      <c r="G42" s="1184" t="s">
        <v>2907</v>
      </c>
      <c r="H42" s="1180">
        <v>778.9</v>
      </c>
      <c r="I42" s="1180">
        <v>778</v>
      </c>
      <c r="J42" s="1110">
        <f t="shared" si="8"/>
        <v>0.89999999999997726</v>
      </c>
      <c r="K42" s="1180">
        <v>778.8</v>
      </c>
      <c r="L42" s="1180">
        <v>777.5</v>
      </c>
      <c r="M42" s="1110">
        <f t="shared" si="9"/>
        <v>1.2999999999999545</v>
      </c>
      <c r="N42" s="1109">
        <f t="shared" si="10"/>
        <v>1.0999999999999659</v>
      </c>
      <c r="O42" s="1109">
        <v>0</v>
      </c>
      <c r="P42" s="1109">
        <f t="shared" si="32"/>
        <v>1.0999999999999659</v>
      </c>
      <c r="Q42" s="1116">
        <f t="shared" si="33"/>
        <v>0</v>
      </c>
      <c r="R42" s="1116">
        <f t="shared" si="34"/>
        <v>0</v>
      </c>
      <c r="S42" s="1096">
        <f t="shared" si="45"/>
        <v>0</v>
      </c>
      <c r="T42" s="1104" t="s">
        <v>2811</v>
      </c>
      <c r="U42" s="1096">
        <f t="shared" si="46"/>
        <v>0</v>
      </c>
      <c r="V42" s="1651"/>
      <c r="W42" s="1651"/>
      <c r="X42" s="1096">
        <f t="shared" si="15"/>
        <v>0</v>
      </c>
      <c r="Y42" s="1096">
        <f t="shared" si="47"/>
        <v>0</v>
      </c>
      <c r="Z42" s="1096">
        <f t="shared" si="48"/>
        <v>0</v>
      </c>
      <c r="AA42" s="1096"/>
      <c r="AB42" s="1096">
        <f t="shared" si="38"/>
        <v>0</v>
      </c>
      <c r="AC42" s="1096">
        <f t="shared" si="39"/>
        <v>0</v>
      </c>
      <c r="AD42" s="1097">
        <f t="shared" si="50"/>
        <v>0</v>
      </c>
      <c r="AE42" s="1111">
        <f t="shared" si="51"/>
        <v>0</v>
      </c>
      <c r="AF42" s="1111">
        <f t="shared" si="52"/>
        <v>0</v>
      </c>
      <c r="AG42" s="1184"/>
      <c r="AH42" s="1111">
        <f>+AD42*1*0.1</f>
        <v>0</v>
      </c>
      <c r="AI42" s="1115">
        <f t="shared" si="26"/>
        <v>0</v>
      </c>
      <c r="AJ42" s="1115">
        <f t="shared" si="27"/>
        <v>0</v>
      </c>
      <c r="AK42" s="1647"/>
      <c r="AL42" s="1114">
        <f>+ROUND(E42/4,0)</f>
        <v>0</v>
      </c>
      <c r="AM42" s="1111">
        <f>+AL42*F42</f>
        <v>0</v>
      </c>
      <c r="AN42" s="1111">
        <f>+E42*2</f>
        <v>0</v>
      </c>
      <c r="AO42" s="1111">
        <f t="shared" si="42"/>
        <v>0</v>
      </c>
      <c r="AP42" s="1111">
        <f t="shared" si="43"/>
        <v>0</v>
      </c>
    </row>
    <row r="43" spans="1:42" ht="15.75" x14ac:dyDescent="0.25">
      <c r="A43" s="1638"/>
      <c r="B43" s="1179" t="s">
        <v>2908</v>
      </c>
      <c r="C43" s="1173">
        <v>14</v>
      </c>
      <c r="D43" s="1183">
        <f t="shared" si="3"/>
        <v>0.35000000000000003</v>
      </c>
      <c r="E43" s="1174">
        <v>0</v>
      </c>
      <c r="F43" s="1104">
        <f t="shared" si="31"/>
        <v>0.8</v>
      </c>
      <c r="G43" s="1115" t="s">
        <v>2810</v>
      </c>
      <c r="H43" s="1180">
        <v>779.1</v>
      </c>
      <c r="I43" s="1180">
        <v>777.1</v>
      </c>
      <c r="J43" s="1110">
        <f t="shared" si="8"/>
        <v>2</v>
      </c>
      <c r="K43" s="1180">
        <v>778</v>
      </c>
      <c r="L43" s="1180">
        <v>776</v>
      </c>
      <c r="M43" s="1110">
        <f t="shared" si="9"/>
        <v>2</v>
      </c>
      <c r="N43" s="1109">
        <f t="shared" si="10"/>
        <v>2</v>
      </c>
      <c r="O43" s="1109">
        <f t="shared" si="28"/>
        <v>0</v>
      </c>
      <c r="P43" s="1109">
        <f t="shared" si="32"/>
        <v>2</v>
      </c>
      <c r="Q43" s="1116">
        <f t="shared" si="33"/>
        <v>0</v>
      </c>
      <c r="R43" s="1116">
        <f t="shared" si="34"/>
        <v>0</v>
      </c>
      <c r="S43" s="1096">
        <f t="shared" si="45"/>
        <v>0</v>
      </c>
      <c r="T43" s="1104" t="s">
        <v>2811</v>
      </c>
      <c r="U43" s="1096">
        <f t="shared" si="46"/>
        <v>0</v>
      </c>
      <c r="V43" s="1651"/>
      <c r="W43" s="1651"/>
      <c r="X43" s="1096">
        <f t="shared" si="15"/>
        <v>0</v>
      </c>
      <c r="Y43" s="1096">
        <f t="shared" si="47"/>
        <v>0</v>
      </c>
      <c r="Z43" s="1096">
        <f t="shared" si="48"/>
        <v>0</v>
      </c>
      <c r="AA43" s="1096">
        <f>+ROUND(E43*F43*0.18,2)</f>
        <v>0</v>
      </c>
      <c r="AB43" s="1096">
        <f t="shared" si="38"/>
        <v>0</v>
      </c>
      <c r="AC43" s="1096">
        <f t="shared" si="39"/>
        <v>0</v>
      </c>
      <c r="AD43" s="1097">
        <f t="shared" si="50"/>
        <v>0</v>
      </c>
      <c r="AE43" s="1111">
        <f t="shared" si="51"/>
        <v>0</v>
      </c>
      <c r="AF43" s="1111">
        <f t="shared" si="52"/>
        <v>0</v>
      </c>
      <c r="AG43" s="1111">
        <f>+AD43*6*0.18*0.7</f>
        <v>0</v>
      </c>
      <c r="AH43" s="1111">
        <f>+AD43*1*0.1</f>
        <v>0</v>
      </c>
      <c r="AI43" s="1115">
        <f t="shared" si="26"/>
        <v>0</v>
      </c>
      <c r="AJ43" s="1115">
        <f t="shared" si="27"/>
        <v>0</v>
      </c>
      <c r="AK43" s="1647"/>
      <c r="AL43" s="1114">
        <f>+ROUND(E43/4,0)</f>
        <v>0</v>
      </c>
      <c r="AM43" s="1111">
        <f>+AL43*F43</f>
        <v>0</v>
      </c>
      <c r="AN43" s="1111">
        <f>+E43*2</f>
        <v>0</v>
      </c>
      <c r="AO43" s="1111">
        <f t="shared" si="42"/>
        <v>0</v>
      </c>
      <c r="AP43" s="1111">
        <f t="shared" si="43"/>
        <v>0</v>
      </c>
    </row>
    <row r="44" spans="1:42" ht="15.75" x14ac:dyDescent="0.25">
      <c r="A44" s="1638"/>
      <c r="B44" s="1179" t="s">
        <v>2909</v>
      </c>
      <c r="C44" s="1173">
        <v>14</v>
      </c>
      <c r="D44" s="1183">
        <f t="shared" si="3"/>
        <v>0.35000000000000003</v>
      </c>
      <c r="E44" s="1174">
        <v>0</v>
      </c>
      <c r="F44" s="1104">
        <f t="shared" si="31"/>
        <v>0.8</v>
      </c>
      <c r="G44" s="1115" t="s">
        <v>2810</v>
      </c>
      <c r="H44" s="1180">
        <v>778.2</v>
      </c>
      <c r="I44" s="1180">
        <v>777.8</v>
      </c>
      <c r="J44" s="1110">
        <f t="shared" si="8"/>
        <v>0.40000000000009095</v>
      </c>
      <c r="K44" s="1180">
        <v>777</v>
      </c>
      <c r="L44" s="1180">
        <v>775.8</v>
      </c>
      <c r="M44" s="1110">
        <f t="shared" si="9"/>
        <v>1.2000000000000455</v>
      </c>
      <c r="N44" s="1109">
        <f t="shared" si="10"/>
        <v>0.80000000000006821</v>
      </c>
      <c r="O44" s="1109">
        <v>0</v>
      </c>
      <c r="P44" s="1109">
        <f t="shared" si="32"/>
        <v>0.80000000000006821</v>
      </c>
      <c r="Q44" s="1116">
        <f t="shared" si="33"/>
        <v>0</v>
      </c>
      <c r="R44" s="1116">
        <f t="shared" si="34"/>
        <v>0</v>
      </c>
      <c r="S44" s="1096">
        <f t="shared" si="45"/>
        <v>0</v>
      </c>
      <c r="T44" s="1104" t="s">
        <v>2811</v>
      </c>
      <c r="U44" s="1096">
        <f t="shared" si="46"/>
        <v>0</v>
      </c>
      <c r="V44" s="1651"/>
      <c r="W44" s="1651"/>
      <c r="X44" s="1096">
        <f t="shared" si="15"/>
        <v>0</v>
      </c>
      <c r="Y44" s="1096">
        <f t="shared" si="47"/>
        <v>0</v>
      </c>
      <c r="Z44" s="1096">
        <f t="shared" si="48"/>
        <v>0</v>
      </c>
      <c r="AA44" s="1096">
        <f>+ROUND(E44*F44*0.18,2)</f>
        <v>0</v>
      </c>
      <c r="AB44" s="1096">
        <f t="shared" si="38"/>
        <v>0</v>
      </c>
      <c r="AC44" s="1096">
        <f t="shared" si="39"/>
        <v>0</v>
      </c>
      <c r="AD44" s="1097">
        <f t="shared" si="50"/>
        <v>0</v>
      </c>
      <c r="AE44" s="1111">
        <f t="shared" si="51"/>
        <v>0</v>
      </c>
      <c r="AF44" s="1111">
        <f t="shared" si="52"/>
        <v>0</v>
      </c>
      <c r="AG44" s="1111">
        <f>+AD44*6*0.18*0.7</f>
        <v>0</v>
      </c>
      <c r="AH44" s="1111">
        <f>+AD44*1*0.1</f>
        <v>0</v>
      </c>
      <c r="AI44" s="1115">
        <f t="shared" si="26"/>
        <v>0</v>
      </c>
      <c r="AJ44" s="1115">
        <f t="shared" si="27"/>
        <v>0</v>
      </c>
      <c r="AK44" s="1647"/>
      <c r="AL44" s="1114">
        <f>+ROUND(E44/4,0)</f>
        <v>0</v>
      </c>
      <c r="AM44" s="1111">
        <f>+AL44*F44</f>
        <v>0</v>
      </c>
      <c r="AN44" s="1111">
        <f>+E44*2</f>
        <v>0</v>
      </c>
      <c r="AO44" s="1111">
        <f t="shared" si="42"/>
        <v>0</v>
      </c>
      <c r="AP44" s="1111">
        <f t="shared" si="43"/>
        <v>0</v>
      </c>
    </row>
    <row r="45" spans="1:42" ht="15.75" x14ac:dyDescent="0.25">
      <c r="A45" s="1160"/>
      <c r="B45" s="1161"/>
      <c r="C45" s="1162"/>
      <c r="D45" s="1162"/>
      <c r="E45" s="1113"/>
      <c r="F45" s="1162"/>
      <c r="G45" s="1164"/>
      <c r="H45" s="1099"/>
      <c r="I45" s="1113"/>
      <c r="J45" s="1165"/>
      <c r="K45" s="1099"/>
      <c r="L45" s="1099"/>
      <c r="M45" s="1165"/>
      <c r="N45" s="1163"/>
      <c r="O45" s="1163"/>
      <c r="P45" s="1163"/>
      <c r="Q45" s="1166"/>
      <c r="R45" s="1166"/>
      <c r="S45" s="1113"/>
      <c r="T45" s="1162"/>
      <c r="U45" s="1113"/>
      <c r="V45" s="1167"/>
      <c r="W45" s="1164"/>
      <c r="X45" s="1113"/>
      <c r="Y45" s="1113"/>
      <c r="Z45" s="1113"/>
      <c r="AA45" s="1113"/>
      <c r="AB45" s="1113"/>
      <c r="AC45" s="1113"/>
      <c r="AD45" s="1168"/>
      <c r="AE45" s="1169"/>
      <c r="AF45" s="1169"/>
      <c r="AG45" s="1169"/>
      <c r="AH45" s="1169"/>
      <c r="AI45" s="1167"/>
      <c r="AJ45" s="1167"/>
      <c r="AK45" s="1170"/>
      <c r="AL45" s="1171"/>
      <c r="AM45" s="1169"/>
      <c r="AN45" s="1169"/>
      <c r="AO45" s="1169"/>
      <c r="AP45" s="1169"/>
    </row>
    <row r="46" spans="1:42" ht="15.75" x14ac:dyDescent="0.25">
      <c r="A46" s="1160"/>
      <c r="B46" s="1161"/>
      <c r="C46" s="1162"/>
      <c r="D46" s="1162"/>
      <c r="E46" s="1113"/>
      <c r="F46" s="1162"/>
      <c r="G46" s="1164"/>
      <c r="H46" s="1099"/>
      <c r="I46" s="1113"/>
      <c r="J46" s="1165"/>
      <c r="K46" s="1099"/>
      <c r="L46" s="1099"/>
      <c r="M46" s="1165"/>
      <c r="N46" s="1163"/>
      <c r="O46" s="1163"/>
      <c r="P46" s="1163"/>
      <c r="Q46" s="1166"/>
      <c r="R46" s="1166"/>
      <c r="S46" s="1113"/>
      <c r="T46" s="1162"/>
      <c r="U46" s="1113"/>
      <c r="V46" s="1167"/>
      <c r="W46" s="1164"/>
      <c r="X46" s="1113"/>
      <c r="Y46" s="1113"/>
      <c r="Z46" s="1113"/>
      <c r="AA46" s="1113"/>
      <c r="AB46" s="1113"/>
      <c r="AC46" s="1113"/>
      <c r="AD46" s="1168"/>
      <c r="AE46" s="1169"/>
      <c r="AF46" s="1169"/>
      <c r="AG46" s="1169"/>
      <c r="AH46" s="1169"/>
      <c r="AI46" s="1167"/>
      <c r="AJ46" s="1167"/>
      <c r="AK46" s="1170"/>
      <c r="AL46" s="1171"/>
      <c r="AM46" s="1169"/>
      <c r="AN46" s="1169"/>
      <c r="AO46" s="1169"/>
      <c r="AP46" s="1169"/>
    </row>
    <row r="48" spans="1:42" ht="15.75" x14ac:dyDescent="0.2">
      <c r="A48" s="1098" t="s">
        <v>2812</v>
      </c>
      <c r="E48" s="1113">
        <f>+ROUND(SUM(E5:E44),2)</f>
        <v>909.5</v>
      </c>
      <c r="Q48" s="1099">
        <f>ROUND(SUBTOTAL(9,Q5:Q47),2)</f>
        <v>1253.8699999999999</v>
      </c>
      <c r="R48" s="1099">
        <f>ROUND(SUBTOTAL(9,R5:R47),2)</f>
        <v>113.65</v>
      </c>
      <c r="S48" s="1099">
        <f>+ROUND(SUM(S5:S19),2)</f>
        <v>774.38</v>
      </c>
      <c r="T48" s="1099"/>
      <c r="U48" s="1099">
        <f t="shared" ref="U48:AP48" si="53">+ROUND(SUM(U5:U19),2)</f>
        <v>1966.59</v>
      </c>
      <c r="V48" s="1113">
        <f>+ROUND(SUM(V5),2)</f>
        <v>64.48</v>
      </c>
      <c r="W48" s="1113">
        <f>+ROUND(SUM(W5),2)</f>
        <v>113.94</v>
      </c>
      <c r="X48" s="1113">
        <f>+ROUND(SUM(X5:X44),2)</f>
        <v>103.99</v>
      </c>
      <c r="Y48" s="1113">
        <f t="shared" ref="Y48:AJ48" si="54">+ROUND(SUM(Y5:Y44),2)</f>
        <v>109.28</v>
      </c>
      <c r="Z48" s="1113">
        <f>+ROUND(SUM(Z5:Z44),2)</f>
        <v>182.13</v>
      </c>
      <c r="AA48" s="1113">
        <f>+ROUND(SUM(AA5:AA44),2)</f>
        <v>131.13999999999999</v>
      </c>
      <c r="AB48" s="1113">
        <f>+ROUND(SUM(AB5:AB44),2)</f>
        <v>840.96</v>
      </c>
      <c r="AC48" s="1113">
        <f t="shared" si="54"/>
        <v>526.54</v>
      </c>
      <c r="AD48" s="1113">
        <f t="shared" si="54"/>
        <v>280</v>
      </c>
      <c r="AE48" s="1113">
        <f t="shared" si="54"/>
        <v>1764</v>
      </c>
      <c r="AF48" s="1113">
        <f>+ROUND(SUM(AF5:AF44),2)</f>
        <v>280</v>
      </c>
      <c r="AG48" s="1113">
        <f t="shared" si="54"/>
        <v>148.93</v>
      </c>
      <c r="AH48" s="1113">
        <f t="shared" si="54"/>
        <v>19.7</v>
      </c>
      <c r="AI48" s="1113">
        <f>+ROUND(SUM(AI5:AI44),2)</f>
        <v>50.4</v>
      </c>
      <c r="AJ48" s="1113">
        <f t="shared" si="54"/>
        <v>151.19999999999999</v>
      </c>
      <c r="AK48" s="1099">
        <f t="shared" si="53"/>
        <v>38</v>
      </c>
      <c r="AL48" s="1113">
        <f t="shared" si="53"/>
        <v>136</v>
      </c>
      <c r="AM48" s="1113">
        <f t="shared" si="53"/>
        <v>107.1</v>
      </c>
      <c r="AN48" s="1112">
        <f t="shared" si="53"/>
        <v>1084.02</v>
      </c>
      <c r="AO48" s="1112">
        <f t="shared" si="53"/>
        <v>160.65</v>
      </c>
      <c r="AP48" s="1112">
        <f t="shared" si="53"/>
        <v>963.9</v>
      </c>
    </row>
    <row r="50" spans="1:31" ht="15.75" x14ac:dyDescent="0.25">
      <c r="A50" s="1100" t="s">
        <v>2813</v>
      </c>
      <c r="B50" s="1101" t="s">
        <v>2814</v>
      </c>
      <c r="C50" s="1101" t="s">
        <v>2815</v>
      </c>
      <c r="D50" s="1182"/>
    </row>
    <row r="51" spans="1:31" ht="15.75" x14ac:dyDescent="0.25">
      <c r="A51" s="1102">
        <v>6</v>
      </c>
      <c r="B51" s="1103">
        <v>0.7</v>
      </c>
      <c r="C51" s="1104">
        <f>+AD48*6</f>
        <v>1680</v>
      </c>
      <c r="D51" s="1162"/>
    </row>
    <row r="52" spans="1:31" ht="18" customHeight="1" x14ac:dyDescent="0.25">
      <c r="A52" s="1102">
        <v>10</v>
      </c>
      <c r="B52" s="1103">
        <v>0.7</v>
      </c>
      <c r="C52" s="1104">
        <f>+ROUND(SUMIF($C$5:$C$44,A52,$E$5:$E$44),0)</f>
        <v>270</v>
      </c>
      <c r="D52" s="1104"/>
      <c r="E52" s="1629" t="s">
        <v>2816</v>
      </c>
      <c r="F52" s="1629"/>
      <c r="G52" s="1630">
        <f>+ROUND(SUM(S48),2)</f>
        <v>774.38</v>
      </c>
      <c r="H52" s="1630"/>
      <c r="I52" s="1629" t="s">
        <v>2800</v>
      </c>
      <c r="J52" s="1629"/>
      <c r="K52" s="1630">
        <f>AE48</f>
        <v>1764</v>
      </c>
      <c r="L52" s="1630"/>
    </row>
    <row r="53" spans="1:31" ht="26.25" customHeight="1" x14ac:dyDescent="0.25">
      <c r="A53" s="1102">
        <v>12</v>
      </c>
      <c r="B53" s="1103">
        <v>0.7</v>
      </c>
      <c r="C53" s="1104">
        <f t="shared" ref="C53:C70" si="55">+ROUND(SUMIF($C$5:$C$44,A53,$E$5:$E$44),0)</f>
        <v>280</v>
      </c>
      <c r="D53" s="1104"/>
      <c r="E53" s="1629"/>
      <c r="F53" s="1629"/>
      <c r="G53" s="1630"/>
      <c r="H53" s="1630"/>
      <c r="I53" s="1629"/>
      <c r="J53" s="1629"/>
      <c r="K53" s="1630"/>
      <c r="L53" s="1630"/>
    </row>
    <row r="54" spans="1:31" ht="15.75" customHeight="1" x14ac:dyDescent="0.25">
      <c r="A54" s="1102">
        <v>14</v>
      </c>
      <c r="B54" s="1103">
        <v>0.8</v>
      </c>
      <c r="C54" s="1104">
        <f t="shared" si="55"/>
        <v>214</v>
      </c>
      <c r="D54" s="1162"/>
    </row>
    <row r="55" spans="1:31" ht="15.75" customHeight="1" x14ac:dyDescent="0.25">
      <c r="A55" s="1102">
        <v>16</v>
      </c>
      <c r="B55" s="1103">
        <v>0.8</v>
      </c>
      <c r="C55" s="1104">
        <f t="shared" si="55"/>
        <v>0</v>
      </c>
      <c r="D55" s="1162"/>
      <c r="AD55" s="1105" t="s">
        <v>2917</v>
      </c>
      <c r="AE55" s="1105">
        <f>SUMIF($C$5:$C$44,18,$AD$5:$AD$44)</f>
        <v>0</v>
      </c>
    </row>
    <row r="56" spans="1:31" ht="15.75" customHeight="1" x14ac:dyDescent="0.25">
      <c r="A56" s="1102">
        <v>18</v>
      </c>
      <c r="B56" s="1103">
        <v>0.9</v>
      </c>
      <c r="C56" s="1104">
        <f t="shared" si="55"/>
        <v>0</v>
      </c>
      <c r="D56" s="1104"/>
      <c r="E56" s="1640" t="s">
        <v>2817</v>
      </c>
      <c r="F56" s="1640"/>
      <c r="G56" s="1630">
        <f>+SUM(G52,K52)</f>
        <v>2538.38</v>
      </c>
      <c r="H56" s="1630"/>
      <c r="AE56" s="1105">
        <f>SUM(AE52:AE55)</f>
        <v>0</v>
      </c>
    </row>
    <row r="57" spans="1:31" ht="15.75" customHeight="1" x14ac:dyDescent="0.25">
      <c r="A57" s="1102">
        <v>20</v>
      </c>
      <c r="B57" s="1103">
        <v>1</v>
      </c>
      <c r="C57" s="1104">
        <f t="shared" si="55"/>
        <v>0</v>
      </c>
      <c r="D57" s="1162"/>
    </row>
    <row r="58" spans="1:31" ht="15.75" x14ac:dyDescent="0.25">
      <c r="A58" s="1102">
        <v>24</v>
      </c>
      <c r="B58" s="1103">
        <v>1.1000000000000001</v>
      </c>
      <c r="C58" s="1104">
        <f t="shared" si="55"/>
        <v>21</v>
      </c>
      <c r="D58" s="1104"/>
      <c r="E58" s="1641" t="s">
        <v>2818</v>
      </c>
      <c r="F58" s="1641"/>
      <c r="G58" s="1641"/>
      <c r="H58" s="1641"/>
    </row>
    <row r="59" spans="1:31" ht="15.75" customHeight="1" x14ac:dyDescent="0.25">
      <c r="A59" s="1102">
        <v>27</v>
      </c>
      <c r="B59" s="1103">
        <v>1.2</v>
      </c>
      <c r="C59" s="1104">
        <f t="shared" si="55"/>
        <v>124</v>
      </c>
      <c r="D59" s="1104"/>
      <c r="E59" s="1634" t="s">
        <v>2819</v>
      </c>
      <c r="F59" s="1634"/>
      <c r="G59" s="1634"/>
      <c r="H59" s="1642">
        <f>+SUM(H63,H64,H65,H66,H67,H68)</f>
        <v>660.18000000000006</v>
      </c>
    </row>
    <row r="60" spans="1:31" ht="15.75" customHeight="1" x14ac:dyDescent="0.25">
      <c r="A60" s="1102">
        <v>30</v>
      </c>
      <c r="B60" s="1103">
        <v>1.3</v>
      </c>
      <c r="C60" s="1104">
        <f t="shared" si="55"/>
        <v>0</v>
      </c>
      <c r="D60" s="1104"/>
      <c r="E60" s="1634"/>
      <c r="F60" s="1634"/>
      <c r="G60" s="1634"/>
      <c r="H60" s="1642"/>
    </row>
    <row r="61" spans="1:31" ht="15.75" customHeight="1" x14ac:dyDescent="0.25">
      <c r="A61" s="1102">
        <v>33</v>
      </c>
      <c r="B61" s="1103">
        <v>1.4</v>
      </c>
      <c r="C61" s="1104">
        <f t="shared" si="55"/>
        <v>0</v>
      </c>
      <c r="D61" s="1104"/>
      <c r="E61" s="1634"/>
      <c r="F61" s="1634"/>
      <c r="G61" s="1634"/>
      <c r="H61" s="1642"/>
    </row>
    <row r="62" spans="1:31" ht="15.75" customHeight="1" x14ac:dyDescent="0.25">
      <c r="A62" s="1102">
        <v>36</v>
      </c>
      <c r="B62" s="1103">
        <v>1.5</v>
      </c>
      <c r="C62" s="1104">
        <f t="shared" si="55"/>
        <v>0</v>
      </c>
      <c r="D62" s="1104"/>
      <c r="E62" s="1634"/>
      <c r="F62" s="1634"/>
      <c r="G62" s="1634"/>
      <c r="H62" s="1642"/>
    </row>
    <row r="63" spans="1:31" ht="15.75" customHeight="1" x14ac:dyDescent="0.25">
      <c r="A63" s="1102">
        <v>39</v>
      </c>
      <c r="B63" s="1103">
        <v>1.8</v>
      </c>
      <c r="C63" s="1104">
        <f t="shared" si="55"/>
        <v>0</v>
      </c>
      <c r="D63" s="1104"/>
      <c r="E63" s="1639" t="s">
        <v>2820</v>
      </c>
      <c r="F63" s="1639"/>
      <c r="G63" s="1639"/>
      <c r="H63" s="1105">
        <f>+Z48</f>
        <v>182.13</v>
      </c>
    </row>
    <row r="64" spans="1:31" ht="15.75" customHeight="1" x14ac:dyDescent="0.25">
      <c r="A64" s="1102">
        <v>42</v>
      </c>
      <c r="B64" s="1103">
        <v>1.8</v>
      </c>
      <c r="C64" s="1104">
        <f t="shared" si="55"/>
        <v>0</v>
      </c>
      <c r="D64" s="1104"/>
      <c r="E64" s="1639" t="s">
        <v>2821</v>
      </c>
      <c r="F64" s="1639"/>
      <c r="G64" s="1639"/>
      <c r="H64" s="1105">
        <f>+AA48</f>
        <v>131.13999999999999</v>
      </c>
    </row>
    <row r="65" spans="1:16" ht="15.75" customHeight="1" x14ac:dyDescent="0.25">
      <c r="A65" s="1102">
        <v>45</v>
      </c>
      <c r="B65" s="1103">
        <v>1.9</v>
      </c>
      <c r="C65" s="1104">
        <f t="shared" si="55"/>
        <v>0</v>
      </c>
      <c r="D65" s="1104"/>
      <c r="E65" s="1639" t="s">
        <v>2822</v>
      </c>
      <c r="F65" s="1639"/>
      <c r="G65" s="1639"/>
      <c r="H65" s="1105">
        <f>+AH48</f>
        <v>19.7</v>
      </c>
    </row>
    <row r="66" spans="1:16" ht="15.75" customHeight="1" x14ac:dyDescent="0.25">
      <c r="A66" s="1102">
        <v>48</v>
      </c>
      <c r="B66" s="1103">
        <v>1.9</v>
      </c>
      <c r="C66" s="1104">
        <f t="shared" si="55"/>
        <v>0</v>
      </c>
      <c r="D66" s="1104"/>
      <c r="E66" s="1639" t="s">
        <v>2823</v>
      </c>
      <c r="F66" s="1639"/>
      <c r="G66" s="1639"/>
      <c r="H66" s="1105">
        <f>+Y48</f>
        <v>109.28</v>
      </c>
    </row>
    <row r="67" spans="1:16" ht="15.75" customHeight="1" x14ac:dyDescent="0.25">
      <c r="A67" s="1102">
        <v>51</v>
      </c>
      <c r="B67" s="1103">
        <v>1.9</v>
      </c>
      <c r="C67" s="1104">
        <f t="shared" si="55"/>
        <v>0</v>
      </c>
      <c r="D67" s="1104"/>
      <c r="E67" s="1639" t="s">
        <v>2824</v>
      </c>
      <c r="F67" s="1639"/>
      <c r="G67" s="1639"/>
      <c r="H67" s="1105">
        <f>+X48</f>
        <v>103.99</v>
      </c>
    </row>
    <row r="68" spans="1:16" ht="15.75" customHeight="1" x14ac:dyDescent="0.25">
      <c r="A68" s="1102">
        <v>54</v>
      </c>
      <c r="B68" s="1103">
        <v>1.95</v>
      </c>
      <c r="C68" s="1104">
        <f t="shared" si="55"/>
        <v>0</v>
      </c>
      <c r="D68" s="1104"/>
      <c r="E68" s="1639" t="s">
        <v>2825</v>
      </c>
      <c r="F68" s="1639"/>
      <c r="G68" s="1639"/>
      <c r="H68" s="1105">
        <f>+W48</f>
        <v>113.94</v>
      </c>
    </row>
    <row r="69" spans="1:16" ht="15.75" customHeight="1" x14ac:dyDescent="0.25">
      <c r="A69" s="1102">
        <v>60</v>
      </c>
      <c r="B69" s="1103">
        <v>2.1</v>
      </c>
      <c r="C69" s="1104">
        <f t="shared" si="55"/>
        <v>0</v>
      </c>
      <c r="D69" s="1162"/>
    </row>
    <row r="70" spans="1:16" ht="15.75" customHeight="1" x14ac:dyDescent="0.25">
      <c r="A70" s="1102">
        <v>68</v>
      </c>
      <c r="B70" s="1103">
        <v>2.2999999999999998</v>
      </c>
      <c r="C70" s="1104">
        <f t="shared" si="55"/>
        <v>0</v>
      </c>
      <c r="D70" s="1162"/>
    </row>
    <row r="71" spans="1:16" ht="15.75" x14ac:dyDescent="0.2">
      <c r="C71" s="1092">
        <f>SUM(C52:C70)</f>
        <v>909</v>
      </c>
      <c r="E71" s="1625" t="s">
        <v>2826</v>
      </c>
      <c r="F71" s="1626"/>
      <c r="G71" s="1626"/>
      <c r="H71" s="1631">
        <f>+G56-H59</f>
        <v>1878.2</v>
      </c>
    </row>
    <row r="72" spans="1:16" ht="12.75" customHeight="1" x14ac:dyDescent="0.2">
      <c r="E72" s="1634" t="s">
        <v>2827</v>
      </c>
      <c r="F72" s="1634"/>
      <c r="G72" s="1634"/>
      <c r="H72" s="1632"/>
    </row>
    <row r="73" spans="1:16" ht="12.75" customHeight="1" x14ac:dyDescent="0.2">
      <c r="E73" s="1634"/>
      <c r="F73" s="1634"/>
      <c r="G73" s="1634"/>
      <c r="H73" s="1632"/>
    </row>
    <row r="74" spans="1:16" ht="12.75" customHeight="1" x14ac:dyDescent="0.2">
      <c r="E74" s="1634"/>
      <c r="F74" s="1634"/>
      <c r="G74" s="1634"/>
      <c r="H74" s="1632"/>
    </row>
    <row r="75" spans="1:16" ht="12.75" customHeight="1" x14ac:dyDescent="0.2">
      <c r="E75" s="1634"/>
      <c r="F75" s="1634"/>
      <c r="G75" s="1634"/>
      <c r="H75" s="1633"/>
    </row>
    <row r="78" spans="1:16" ht="22.5" customHeight="1" x14ac:dyDescent="0.2">
      <c r="E78" s="1625" t="s">
        <v>2846</v>
      </c>
      <c r="F78" s="1626"/>
      <c r="G78" s="1626"/>
      <c r="H78" s="1626"/>
      <c r="I78" s="1626"/>
      <c r="J78" s="1626"/>
      <c r="K78" s="1626"/>
      <c r="L78" s="1626"/>
      <c r="M78" s="1626"/>
      <c r="N78" s="1626"/>
      <c r="O78" s="1626"/>
    </row>
    <row r="80" spans="1:16" ht="15.75" x14ac:dyDescent="0.2">
      <c r="E80" s="1627" t="s">
        <v>2828</v>
      </c>
      <c r="F80" s="1627"/>
      <c r="G80" s="1627"/>
      <c r="H80" s="1105">
        <f>+H71</f>
        <v>1878.2</v>
      </c>
      <c r="I80" s="1108" t="s">
        <v>2155</v>
      </c>
      <c r="K80" s="1627" t="s">
        <v>2842</v>
      </c>
      <c r="L80" s="1627"/>
      <c r="M80" s="1627"/>
      <c r="N80" s="1120">
        <v>18</v>
      </c>
      <c r="O80" s="1108" t="s">
        <v>2329</v>
      </c>
      <c r="P80" s="1121"/>
    </row>
    <row r="81" spans="5:15" ht="15.75" x14ac:dyDescent="0.25">
      <c r="F81" s="1106"/>
    </row>
    <row r="82" spans="5:15" ht="15.75" x14ac:dyDescent="0.2">
      <c r="E82" s="1627" t="s">
        <v>2829</v>
      </c>
      <c r="F82" s="1627"/>
      <c r="G82" s="1627"/>
      <c r="H82" s="1105">
        <f>+U48</f>
        <v>1966.59</v>
      </c>
      <c r="I82" s="1108" t="s">
        <v>2326</v>
      </c>
      <c r="K82" s="1627" t="s">
        <v>2843</v>
      </c>
      <c r="L82" s="1627"/>
      <c r="M82" s="1627"/>
      <c r="N82" s="1120">
        <f>V48</f>
        <v>64.48</v>
      </c>
      <c r="O82" s="1108" t="s">
        <v>2327</v>
      </c>
    </row>
    <row r="84" spans="5:15" ht="15.75" x14ac:dyDescent="0.2">
      <c r="E84" s="1627" t="s">
        <v>2834</v>
      </c>
      <c r="F84" s="1627"/>
      <c r="G84" s="1627"/>
      <c r="H84" s="1120">
        <f>Q48+K52+'cant acued'!I16</f>
        <v>3017.87</v>
      </c>
      <c r="I84" s="1108" t="s">
        <v>2155</v>
      </c>
      <c r="K84" s="1627" t="s">
        <v>2844</v>
      </c>
      <c r="L84" s="1627"/>
      <c r="M84" s="1627"/>
      <c r="N84" s="1120">
        <f>AK48</f>
        <v>38</v>
      </c>
      <c r="O84" s="1108" t="s">
        <v>2329</v>
      </c>
    </row>
    <row r="86" spans="5:15" ht="15.75" x14ac:dyDescent="0.2">
      <c r="E86" s="1627" t="s">
        <v>2835</v>
      </c>
      <c r="F86" s="1627"/>
      <c r="G86" s="1627"/>
      <c r="H86" s="1120">
        <f>R48</f>
        <v>113.65</v>
      </c>
      <c r="I86" s="1108" t="s">
        <v>2155</v>
      </c>
      <c r="K86" s="1627" t="s">
        <v>2845</v>
      </c>
      <c r="L86" s="1627"/>
      <c r="M86" s="1627"/>
      <c r="N86" s="1120">
        <f>AD48</f>
        <v>280</v>
      </c>
      <c r="O86" s="1108" t="s">
        <v>2329</v>
      </c>
    </row>
    <row r="88" spans="5:15" ht="15.75" x14ac:dyDescent="0.2">
      <c r="E88" s="1627" t="s">
        <v>2836</v>
      </c>
      <c r="F88" s="1627"/>
      <c r="G88" s="1627"/>
      <c r="H88" s="1120">
        <f>N88+N90+H92+H94+H96+N92</f>
        <v>961.20170271999996</v>
      </c>
      <c r="I88" s="1108" t="s">
        <v>2155</v>
      </c>
      <c r="K88" s="1627" t="s">
        <v>2848</v>
      </c>
      <c r="L88" s="1627"/>
      <c r="M88" s="1627"/>
      <c r="N88" s="1120">
        <f>AJ48+Z48+'cant acued'!I20</f>
        <v>333.33</v>
      </c>
      <c r="O88" s="1108" t="s">
        <v>2155</v>
      </c>
    </row>
    <row r="90" spans="5:15" ht="15.75" x14ac:dyDescent="0.2">
      <c r="E90" s="1627" t="s">
        <v>1268</v>
      </c>
      <c r="F90" s="1627"/>
      <c r="G90" s="1627"/>
      <c r="H90" s="1122">
        <f>(H84+H86+'cant acued'!I16)-('cant acued'!I20-'cant acued'!I18)</f>
        <v>3131.52</v>
      </c>
      <c r="I90" s="1108" t="s">
        <v>2155</v>
      </c>
      <c r="K90" s="1627" t="s">
        <v>937</v>
      </c>
      <c r="L90" s="1627"/>
      <c r="M90" s="1627"/>
      <c r="N90" s="1120">
        <f>Y48+AI48+'cant acued'!I18</f>
        <v>159.68</v>
      </c>
      <c r="O90" s="1108" t="s">
        <v>2155</v>
      </c>
    </row>
    <row r="92" spans="5:15" ht="15.75" x14ac:dyDescent="0.2">
      <c r="E92" s="1627" t="s">
        <v>2837</v>
      </c>
      <c r="F92" s="1627"/>
      <c r="G92" s="1627"/>
      <c r="H92" s="1120">
        <f>AA48+AG48+'cant acued'!I14</f>
        <v>280.07</v>
      </c>
      <c r="I92" s="1108" t="s">
        <v>2155</v>
      </c>
      <c r="K92" s="1627" t="s">
        <v>2840</v>
      </c>
      <c r="L92" s="1627"/>
      <c r="M92" s="1627"/>
      <c r="N92" s="1120">
        <f>+X48</f>
        <v>103.99</v>
      </c>
      <c r="O92" s="1108" t="s">
        <v>2155</v>
      </c>
    </row>
    <row r="94" spans="5:15" ht="15.75" x14ac:dyDescent="0.2">
      <c r="E94" s="1627" t="s">
        <v>2838</v>
      </c>
      <c r="F94" s="1627"/>
      <c r="G94" s="1627"/>
      <c r="H94" s="1120">
        <f>AH48+'cant acued'!I15+'cant acued'!I17</f>
        <v>19.7</v>
      </c>
      <c r="I94" s="1108" t="s">
        <v>2155</v>
      </c>
      <c r="K94" s="1627" t="s">
        <v>2858</v>
      </c>
      <c r="L94" s="1627"/>
      <c r="M94" s="1627"/>
      <c r="N94" s="1120">
        <f>AO48+AP48</f>
        <v>1124.55</v>
      </c>
      <c r="O94" s="1108" t="s">
        <v>936</v>
      </c>
    </row>
    <row r="96" spans="5:15" ht="15.75" x14ac:dyDescent="0.2">
      <c r="E96" s="1627" t="s">
        <v>2839</v>
      </c>
      <c r="F96" s="1627"/>
      <c r="G96" s="1627"/>
      <c r="H96" s="1105">
        <f>W48*0.15*2*3.1416*0.6</f>
        <v>64.43170271999999</v>
      </c>
      <c r="I96" s="1108" t="s">
        <v>2155</v>
      </c>
    </row>
    <row r="98" spans="5:12" ht="15.75" x14ac:dyDescent="0.2">
      <c r="E98" s="1627" t="s">
        <v>2841</v>
      </c>
      <c r="F98" s="1627"/>
      <c r="G98" s="1627"/>
      <c r="H98" s="1120">
        <f>(H84+H86)-(N88+N90+N92)</f>
        <v>2534.52</v>
      </c>
      <c r="I98" s="1108" t="s">
        <v>2155</v>
      </c>
    </row>
    <row r="99" spans="5:12" x14ac:dyDescent="0.2">
      <c r="K99" s="1628" t="s">
        <v>2930</v>
      </c>
      <c r="L99" s="1628"/>
    </row>
    <row r="100" spans="5:12" ht="30" customHeight="1" x14ac:dyDescent="0.2">
      <c r="E100" s="1622" t="s">
        <v>2927</v>
      </c>
      <c r="F100" s="1623"/>
      <c r="G100" s="1624"/>
      <c r="H100" s="1124">
        <f>+L100</f>
        <v>81</v>
      </c>
      <c r="I100" s="1108" t="s">
        <v>2329</v>
      </c>
      <c r="K100" s="1325" t="s">
        <v>2914</v>
      </c>
      <c r="L100" s="1189">
        <f>SUMIF($C$5:$C$44,10,$AD$5:$AD$44)</f>
        <v>81</v>
      </c>
    </row>
    <row r="101" spans="5:12" x14ac:dyDescent="0.2">
      <c r="H101" s="1125"/>
      <c r="K101" s="1325" t="s">
        <v>2915</v>
      </c>
      <c r="L101" s="1189">
        <f>SUMIF($C$5:$C$44,12,$AD$5:$AD$44)</f>
        <v>112</v>
      </c>
    </row>
    <row r="102" spans="5:12" ht="33" customHeight="1" x14ac:dyDescent="0.2">
      <c r="E102" s="1622" t="s">
        <v>2928</v>
      </c>
      <c r="F102" s="1623"/>
      <c r="G102" s="1624"/>
      <c r="H102" s="1124">
        <f>+L101</f>
        <v>112</v>
      </c>
      <c r="I102" s="1108" t="s">
        <v>2329</v>
      </c>
      <c r="K102" s="1325" t="s">
        <v>2916</v>
      </c>
      <c r="L102" s="1189">
        <f>SUMIF($C$5:$C$44,14,$AD$5:$AD$44)</f>
        <v>87</v>
      </c>
    </row>
    <row r="103" spans="5:12" x14ac:dyDescent="0.2">
      <c r="H103" s="1125"/>
    </row>
    <row r="104" spans="5:12" ht="51" customHeight="1" x14ac:dyDescent="0.2">
      <c r="E104" s="1622" t="s">
        <v>2929</v>
      </c>
      <c r="F104" s="1623"/>
      <c r="G104" s="1624"/>
      <c r="H104" s="1124">
        <f>+L102</f>
        <v>87</v>
      </c>
      <c r="I104" s="1108" t="s">
        <v>2329</v>
      </c>
    </row>
    <row r="105" spans="5:12" x14ac:dyDescent="0.2">
      <c r="H105" s="1125"/>
    </row>
    <row r="109" spans="5:12" ht="33.75" customHeight="1" x14ac:dyDescent="0.2"/>
    <row r="111" spans="5:12" ht="30.75" customHeight="1" x14ac:dyDescent="0.2"/>
    <row r="113" ht="30" customHeight="1" x14ac:dyDescent="0.2"/>
  </sheetData>
  <sheetProtection algorithmName="SHA-512" hashValue="+0uNAFHUMHSO0MD15dPxltskfEe/OOWwZq7NUZ4EAKUpsID5YpVQpFoBuayPFOS8B0UwyNcOBzfXTVlmjORicA==" saltValue="HfebmdeN9J5YyJWO6R4KSA==" spinCount="100000" sheet="1" formatCells="0" formatColumns="0" formatRows="0" insertColumns="0" insertRows="0" insertHyperlinks="0" deleteColumns="0" deleteRows="0" sort="0" autoFilter="0" pivotTables="0"/>
  <autoFilter ref="A4:AP44"/>
  <mergeCells count="90">
    <mergeCell ref="A1:AP1"/>
    <mergeCell ref="AK5:AK44"/>
    <mergeCell ref="A29:A35"/>
    <mergeCell ref="A37:A38"/>
    <mergeCell ref="V5:V44"/>
    <mergeCell ref="W5:W44"/>
    <mergeCell ref="A7:A8"/>
    <mergeCell ref="A13:A14"/>
    <mergeCell ref="A19:A26"/>
    <mergeCell ref="H2:I2"/>
    <mergeCell ref="K2:L2"/>
    <mergeCell ref="A3:A4"/>
    <mergeCell ref="B3:B4"/>
    <mergeCell ref="C3:C4"/>
    <mergeCell ref="D3:D4"/>
    <mergeCell ref="E3:E4"/>
    <mergeCell ref="F3:F4"/>
    <mergeCell ref="G3:G4"/>
    <mergeCell ref="H3:I3"/>
    <mergeCell ref="Y3:Y4"/>
    <mergeCell ref="J3:J4"/>
    <mergeCell ref="K3:L3"/>
    <mergeCell ref="M3:M4"/>
    <mergeCell ref="N3:N4"/>
    <mergeCell ref="S3:S4"/>
    <mergeCell ref="T3:T4"/>
    <mergeCell ref="U3:U4"/>
    <mergeCell ref="V3:V4"/>
    <mergeCell ref="W3:W4"/>
    <mergeCell ref="X3:X4"/>
    <mergeCell ref="AG3:AG4"/>
    <mergeCell ref="AH3:AH4"/>
    <mergeCell ref="Z3:Z4"/>
    <mergeCell ref="AA3:AA4"/>
    <mergeCell ref="AB3:AB4"/>
    <mergeCell ref="AC3:AC4"/>
    <mergeCell ref="AD3:AD4"/>
    <mergeCell ref="AE3:AE4"/>
    <mergeCell ref="AF3:AF4"/>
    <mergeCell ref="AM3:AM4"/>
    <mergeCell ref="AN3:AN4"/>
    <mergeCell ref="AO3:AO4"/>
    <mergeCell ref="AP3:AP4"/>
    <mergeCell ref="AI3:AI4"/>
    <mergeCell ref="AJ3:AJ4"/>
    <mergeCell ref="AK3:AK4"/>
    <mergeCell ref="AL3:AL4"/>
    <mergeCell ref="A17:A18"/>
    <mergeCell ref="A41:A44"/>
    <mergeCell ref="E68:G68"/>
    <mergeCell ref="E71:G71"/>
    <mergeCell ref="K52:L53"/>
    <mergeCell ref="E56:F56"/>
    <mergeCell ref="G56:H56"/>
    <mergeCell ref="E58:H58"/>
    <mergeCell ref="E59:G62"/>
    <mergeCell ref="H59:H62"/>
    <mergeCell ref="I52:J53"/>
    <mergeCell ref="E63:G63"/>
    <mergeCell ref="E64:G64"/>
    <mergeCell ref="E65:G65"/>
    <mergeCell ref="E66:G66"/>
    <mergeCell ref="E67:G67"/>
    <mergeCell ref="E52:F53"/>
    <mergeCell ref="G52:H53"/>
    <mergeCell ref="E88:G88"/>
    <mergeCell ref="E90:G90"/>
    <mergeCell ref="K88:M88"/>
    <mergeCell ref="K90:M90"/>
    <mergeCell ref="H71:H75"/>
    <mergeCell ref="E72:G75"/>
    <mergeCell ref="E80:G80"/>
    <mergeCell ref="E84:G84"/>
    <mergeCell ref="E82:G82"/>
    <mergeCell ref="E102:G102"/>
    <mergeCell ref="E78:O78"/>
    <mergeCell ref="E104:G104"/>
    <mergeCell ref="K94:M94"/>
    <mergeCell ref="K80:M80"/>
    <mergeCell ref="K82:M82"/>
    <mergeCell ref="K84:M84"/>
    <mergeCell ref="K86:M86"/>
    <mergeCell ref="E100:G100"/>
    <mergeCell ref="E92:G92"/>
    <mergeCell ref="E94:G94"/>
    <mergeCell ref="E96:G96"/>
    <mergeCell ref="K92:M92"/>
    <mergeCell ref="E98:G98"/>
    <mergeCell ref="E86:G86"/>
    <mergeCell ref="K99:L99"/>
  </mergeCells>
  <printOptions horizontalCentered="1"/>
  <pageMargins left="0.70866141732283472" right="0.70866141732283472" top="0.74803149606299213" bottom="0.74803149606299213" header="0.31496062992125984" footer="0.31496062992125984"/>
  <pageSetup paperSize="2061" scale="22" orientation="landscape" horizontalDpi="4294967294" verticalDpi="4294967294" r:id="rId1"/>
  <ignoredErrors>
    <ignoredError sqref="V4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view="pageBreakPreview" topLeftCell="A16" zoomScale="90" zoomScaleNormal="60" zoomScaleSheetLayoutView="90" workbookViewId="0">
      <selection activeCell="Q43" sqref="Q43:R45"/>
    </sheetView>
  </sheetViews>
  <sheetFormatPr baseColWidth="10" defaultColWidth="13.7109375" defaultRowHeight="12.75" outlineLevelCol="1" x14ac:dyDescent="0.2"/>
  <cols>
    <col min="1" max="1" width="11.42578125" style="171" customWidth="1"/>
    <col min="2" max="2" width="56.85546875" style="171" customWidth="1"/>
    <col min="3" max="3" width="10.5703125" style="171" customWidth="1"/>
    <col min="4" max="4" width="13.140625" style="171" customWidth="1"/>
    <col min="5" max="5" width="20.85546875" style="171" customWidth="1"/>
    <col min="6" max="6" width="17.7109375" style="171" customWidth="1"/>
    <col min="7" max="7" width="23.7109375" style="171" customWidth="1"/>
    <col min="8" max="8" width="11.42578125" style="171" customWidth="1"/>
    <col min="9" max="9" width="18.140625" style="171" hidden="1" customWidth="1" outlineLevel="1"/>
    <col min="10" max="10" width="11.42578125" style="171" hidden="1" customWidth="1" outlineLevel="1"/>
    <col min="11" max="11" width="18.140625" style="171" hidden="1" customWidth="1" outlineLevel="1"/>
    <col min="12" max="12" width="11.42578125" style="172" hidden="1" customWidth="1" outlineLevel="1"/>
    <col min="13" max="13" width="16.5703125" style="172" hidden="1" customWidth="1" outlineLevel="1"/>
    <col min="14" max="15" width="11.42578125" style="172" hidden="1" customWidth="1" outlineLevel="1"/>
    <col min="16" max="16" width="30.7109375" style="171" bestFit="1" customWidth="1" collapsed="1"/>
    <col min="17" max="17" width="19.28515625" style="171" bestFit="1" customWidth="1"/>
    <col min="18" max="18" width="17.140625" style="171" bestFit="1" customWidth="1"/>
    <col min="19" max="19" width="18" style="171" bestFit="1" customWidth="1"/>
    <col min="20" max="20" width="15.140625" style="171" bestFit="1" customWidth="1"/>
    <col min="21" max="253" width="11.42578125" style="171" customWidth="1"/>
    <col min="254" max="254" width="39.140625" style="171" customWidth="1"/>
    <col min="255" max="255" width="10.5703125" style="171" customWidth="1"/>
    <col min="256" max="16384" width="13.7109375" style="171"/>
  </cols>
  <sheetData>
    <row r="1" spans="1:20" ht="27" customHeight="1" x14ac:dyDescent="0.25">
      <c r="A1" s="1879" t="s">
        <v>667</v>
      </c>
      <c r="B1" s="1879"/>
      <c r="C1" s="1879"/>
      <c r="D1" s="1879"/>
      <c r="E1" s="1879"/>
      <c r="F1" s="1879"/>
      <c r="G1" s="1879"/>
      <c r="H1" s="170"/>
    </row>
    <row r="2" spans="1:20" ht="45" customHeight="1" x14ac:dyDescent="0.2">
      <c r="A2" s="1880" t="str">
        <f>+Presupuesto!A2</f>
        <v>PRESUPUESTO  OBRAS DE MEJORAMIENTO  ALCANTARILLADO EN LA ZONA URBANA EN EL MUNICIPIO DE LA VICTORIA CALDAS</v>
      </c>
      <c r="B2" s="1880"/>
      <c r="C2" s="1880"/>
      <c r="D2" s="1880"/>
      <c r="E2" s="1880"/>
      <c r="F2" s="1880"/>
      <c r="G2" s="1880"/>
      <c r="H2" s="173"/>
    </row>
    <row r="3" spans="1:20" ht="13.5" thickBot="1" x14ac:dyDescent="0.25"/>
    <row r="4" spans="1:20" ht="15.75" x14ac:dyDescent="0.25">
      <c r="B4" s="1703" t="s">
        <v>668</v>
      </c>
      <c r="C4" s="1704"/>
      <c r="D4" s="1704"/>
      <c r="E4" s="1704"/>
      <c r="F4" s="1704"/>
      <c r="G4" s="1705"/>
      <c r="P4" s="174" t="s">
        <v>2254</v>
      </c>
      <c r="Q4" s="175">
        <v>615000</v>
      </c>
      <c r="S4" s="282"/>
    </row>
    <row r="5" spans="1:20" ht="15" customHeight="1" thickBot="1" x14ac:dyDescent="0.25">
      <c r="B5" s="1706" t="s">
        <v>669</v>
      </c>
      <c r="C5" s="1707"/>
      <c r="D5" s="1707"/>
      <c r="E5" s="1707"/>
      <c r="F5" s="1707"/>
      <c r="G5" s="1708"/>
    </row>
    <row r="6" spans="1:20" ht="15" customHeight="1" thickBot="1" x14ac:dyDescent="0.25">
      <c r="B6" s="1709"/>
      <c r="C6" s="1710"/>
      <c r="D6" s="1710"/>
      <c r="E6" s="1710"/>
      <c r="F6" s="1710"/>
      <c r="G6" s="1711"/>
      <c r="P6" s="176" t="s">
        <v>670</v>
      </c>
      <c r="Q6" s="177" t="s">
        <v>671</v>
      </c>
      <c r="R6" s="177" t="s">
        <v>672</v>
      </c>
      <c r="S6" s="177" t="s">
        <v>673</v>
      </c>
      <c r="T6" s="178" t="s">
        <v>674</v>
      </c>
    </row>
    <row r="7" spans="1:20" x14ac:dyDescent="0.2">
      <c r="B7" s="179"/>
      <c r="C7" s="180"/>
      <c r="D7" s="181"/>
      <c r="E7" s="181"/>
      <c r="F7" s="181"/>
      <c r="G7" s="182"/>
      <c r="P7" s="183" t="s">
        <v>675</v>
      </c>
      <c r="Q7" s="184">
        <f>R7/$Q$4</f>
        <v>7.8048780487804876</v>
      </c>
      <c r="R7" s="345">
        <v>4800000</v>
      </c>
      <c r="S7" s="718">
        <v>1.6</v>
      </c>
      <c r="T7" s="329">
        <f>+S7*R7</f>
        <v>7680000</v>
      </c>
    </row>
    <row r="8" spans="1:20" ht="15" x14ac:dyDescent="0.25">
      <c r="B8" s="186" t="s">
        <v>676</v>
      </c>
      <c r="C8" s="187"/>
      <c r="D8" s="188"/>
      <c r="E8" s="188"/>
      <c r="F8" s="188"/>
      <c r="G8" s="189">
        <v>10</v>
      </c>
      <c r="P8" s="183" t="s">
        <v>677</v>
      </c>
      <c r="Q8" s="184">
        <f t="shared" ref="Q8:Q13" si="0">R8/$Q$4</f>
        <v>4.5528455284552845</v>
      </c>
      <c r="R8" s="346">
        <v>2800000</v>
      </c>
      <c r="S8" s="718">
        <v>1.6</v>
      </c>
      <c r="T8" s="329">
        <f t="shared" ref="T8:T13" si="1">+S8*R8</f>
        <v>4480000</v>
      </c>
    </row>
    <row r="9" spans="1:20" ht="14.25" x14ac:dyDescent="0.2">
      <c r="B9" s="190" t="s">
        <v>678</v>
      </c>
      <c r="C9" s="191"/>
      <c r="D9" s="192"/>
      <c r="E9" s="192"/>
      <c r="F9" s="192"/>
      <c r="G9" s="193">
        <f>+Presupuesto!J55</f>
        <v>0</v>
      </c>
      <c r="P9" s="183" t="s">
        <v>679</v>
      </c>
      <c r="Q9" s="184">
        <f t="shared" si="0"/>
        <v>2.6016260162601625</v>
      </c>
      <c r="R9" s="346">
        <v>1600000</v>
      </c>
      <c r="S9" s="718">
        <v>1.6</v>
      </c>
      <c r="T9" s="329">
        <f t="shared" si="1"/>
        <v>2560000</v>
      </c>
    </row>
    <row r="10" spans="1:20" ht="14.25" x14ac:dyDescent="0.2">
      <c r="B10" s="190"/>
      <c r="C10" s="194"/>
      <c r="D10" s="192"/>
      <c r="E10" s="192"/>
      <c r="F10" s="192"/>
      <c r="G10" s="193"/>
      <c r="P10" s="183" t="s">
        <v>680</v>
      </c>
      <c r="Q10" s="184">
        <f t="shared" si="0"/>
        <v>3.4146341463414633</v>
      </c>
      <c r="R10" s="346">
        <v>2100000</v>
      </c>
      <c r="S10" s="718">
        <v>1.6</v>
      </c>
      <c r="T10" s="329">
        <f t="shared" si="1"/>
        <v>3360000</v>
      </c>
    </row>
    <row r="11" spans="1:20" ht="14.25" x14ac:dyDescent="0.2">
      <c r="B11" s="190" t="s">
        <v>681</v>
      </c>
      <c r="C11" s="337">
        <v>0.18</v>
      </c>
      <c r="D11" s="192"/>
      <c r="E11" s="192"/>
      <c r="F11" s="192"/>
      <c r="G11" s="193">
        <f>ROUND((G9+G10)*C11,0)</f>
        <v>0</v>
      </c>
      <c r="P11" s="183" t="s">
        <v>682</v>
      </c>
      <c r="Q11" s="184">
        <f t="shared" si="0"/>
        <v>1.056910569105691</v>
      </c>
      <c r="R11" s="346">
        <v>650000</v>
      </c>
      <c r="S11" s="718">
        <v>1.75</v>
      </c>
      <c r="T11" s="329">
        <f t="shared" si="1"/>
        <v>1137500</v>
      </c>
    </row>
    <row r="12" spans="1:20" ht="15.75" thickBot="1" x14ac:dyDescent="0.3">
      <c r="B12" s="186" t="s">
        <v>683</v>
      </c>
      <c r="C12" s="195"/>
      <c r="D12" s="196"/>
      <c r="E12" s="196"/>
      <c r="F12" s="196"/>
      <c r="G12" s="197">
        <f>SUM(G9:G11)</f>
        <v>0</v>
      </c>
      <c r="P12" s="183" t="s">
        <v>684</v>
      </c>
      <c r="Q12" s="184">
        <v>1</v>
      </c>
      <c r="R12" s="346">
        <v>589500</v>
      </c>
      <c r="S12" s="718">
        <v>1.75</v>
      </c>
      <c r="T12" s="329">
        <f t="shared" si="1"/>
        <v>1031625</v>
      </c>
    </row>
    <row r="13" spans="1:20" ht="63" customHeight="1" thickBot="1" x14ac:dyDescent="0.25">
      <c r="B13" s="198" t="s">
        <v>963</v>
      </c>
      <c r="C13" s="199" t="s">
        <v>964</v>
      </c>
      <c r="D13" s="200" t="s">
        <v>1536</v>
      </c>
      <c r="E13" s="200" t="s">
        <v>685</v>
      </c>
      <c r="F13" s="201" t="s">
        <v>686</v>
      </c>
      <c r="G13" s="202" t="s">
        <v>687</v>
      </c>
      <c r="P13" s="341" t="s">
        <v>688</v>
      </c>
      <c r="Q13" s="342">
        <f t="shared" si="0"/>
        <v>1.2520325203252032</v>
      </c>
      <c r="R13" s="347">
        <v>770000</v>
      </c>
      <c r="S13" s="343">
        <v>1.75</v>
      </c>
      <c r="T13" s="344">
        <f t="shared" si="1"/>
        <v>1347500</v>
      </c>
    </row>
    <row r="14" spans="1:20" ht="15" x14ac:dyDescent="0.25">
      <c r="B14" s="203" t="s">
        <v>689</v>
      </c>
      <c r="C14" s="204"/>
      <c r="D14" s="204"/>
      <c r="E14" s="205"/>
      <c r="F14" s="204"/>
      <c r="G14" s="206"/>
      <c r="P14" s="207" t="s">
        <v>690</v>
      </c>
      <c r="Q14" s="208">
        <v>1</v>
      </c>
      <c r="R14" s="346">
        <f>+$Q$4*Q14</f>
        <v>615000</v>
      </c>
      <c r="S14" s="209">
        <f>1.75*1.25</f>
        <v>2.1875</v>
      </c>
      <c r="T14" s="330">
        <f>+ROUND(S14*R14,0)</f>
        <v>1345313</v>
      </c>
    </row>
    <row r="15" spans="1:20" ht="18.75" customHeight="1" thickBot="1" x14ac:dyDescent="0.25">
      <c r="B15" s="210" t="s">
        <v>1520</v>
      </c>
      <c r="C15" s="211" t="s">
        <v>904</v>
      </c>
      <c r="D15" s="232">
        <v>16</v>
      </c>
      <c r="E15" s="234">
        <v>25000</v>
      </c>
      <c r="F15" s="213">
        <v>0</v>
      </c>
      <c r="G15" s="193">
        <f t="shared" ref="G15:G26" si="2">+ROUND(E15*D15*F15,0)</f>
        <v>0</v>
      </c>
      <c r="I15" s="1696" t="s">
        <v>691</v>
      </c>
      <c r="J15" s="1696"/>
      <c r="K15" s="1696"/>
      <c r="L15" s="1696"/>
      <c r="M15" s="1696"/>
      <c r="N15" s="1696"/>
      <c r="O15" s="1696"/>
      <c r="P15" s="214" t="s">
        <v>692</v>
      </c>
      <c r="Q15" s="215">
        <v>1</v>
      </c>
      <c r="R15" s="348">
        <v>129178</v>
      </c>
      <c r="S15" s="216">
        <v>1</v>
      </c>
      <c r="T15" s="331">
        <f>+ROUND(S15*R15,0)</f>
        <v>129178</v>
      </c>
    </row>
    <row r="16" spans="1:20" ht="14.25" x14ac:dyDescent="0.2">
      <c r="B16" s="217" t="s">
        <v>693</v>
      </c>
      <c r="C16" s="218" t="s">
        <v>2012</v>
      </c>
      <c r="D16" s="232">
        <f>G8</f>
        <v>10</v>
      </c>
      <c r="E16" s="233">
        <v>250000</v>
      </c>
      <c r="F16" s="213">
        <v>0</v>
      </c>
      <c r="G16" s="193">
        <f t="shared" si="2"/>
        <v>0</v>
      </c>
      <c r="I16" s="220" t="s">
        <v>694</v>
      </c>
      <c r="J16" s="220" t="s">
        <v>695</v>
      </c>
      <c r="K16" s="220" t="s">
        <v>694</v>
      </c>
      <c r="L16" s="220" t="s">
        <v>695</v>
      </c>
      <c r="M16" s="220" t="s">
        <v>694</v>
      </c>
      <c r="N16" s="220" t="s">
        <v>695</v>
      </c>
      <c r="O16" s="221" t="s">
        <v>696</v>
      </c>
    </row>
    <row r="17" spans="2:16" ht="14.25" x14ac:dyDescent="0.2">
      <c r="B17" s="217" t="s">
        <v>697</v>
      </c>
      <c r="C17" s="218" t="s">
        <v>2012</v>
      </c>
      <c r="D17" s="232">
        <f>G8</f>
        <v>10</v>
      </c>
      <c r="E17" s="233">
        <v>100000</v>
      </c>
      <c r="F17" s="213">
        <v>0</v>
      </c>
      <c r="G17" s="193">
        <f t="shared" si="2"/>
        <v>0</v>
      </c>
      <c r="I17" s="222"/>
      <c r="J17" s="220"/>
      <c r="K17" s="222"/>
      <c r="L17" s="223"/>
      <c r="M17" s="222"/>
      <c r="N17" s="223"/>
      <c r="O17" s="223"/>
      <c r="P17" s="224"/>
    </row>
    <row r="18" spans="2:16" ht="14.25" x14ac:dyDescent="0.2">
      <c r="B18" s="217" t="s">
        <v>698</v>
      </c>
      <c r="C18" s="218" t="s">
        <v>2012</v>
      </c>
      <c r="D18" s="232">
        <f>G8</f>
        <v>10</v>
      </c>
      <c r="E18" s="233">
        <v>150000</v>
      </c>
      <c r="F18" s="213">
        <v>0</v>
      </c>
      <c r="G18" s="193">
        <f t="shared" si="2"/>
        <v>0</v>
      </c>
      <c r="I18" s="222"/>
      <c r="J18" s="220"/>
      <c r="K18" s="222"/>
      <c r="L18" s="223"/>
      <c r="M18" s="222"/>
      <c r="N18" s="223"/>
      <c r="O18" s="223"/>
      <c r="P18" s="225"/>
    </row>
    <row r="19" spans="2:16" ht="14.25" x14ac:dyDescent="0.2">
      <c r="B19" s="217" t="e">
        <f>+A.P.U!#REF!</f>
        <v>#REF!</v>
      </c>
      <c r="C19" s="708" t="e">
        <f>+A.P.U!#REF!</f>
        <v>#REF!</v>
      </c>
      <c r="D19" s="232">
        <v>20</v>
      </c>
      <c r="E19" s="233" t="e">
        <f>+A.P.U!#REF!</f>
        <v>#REF!</v>
      </c>
      <c r="F19" s="213">
        <v>0</v>
      </c>
      <c r="G19" s="193" t="e">
        <f t="shared" si="2"/>
        <v>#REF!</v>
      </c>
      <c r="I19" s="222"/>
      <c r="J19" s="220"/>
      <c r="K19" s="222"/>
      <c r="L19" s="223"/>
      <c r="M19" s="222"/>
      <c r="N19" s="223"/>
      <c r="O19" s="223"/>
      <c r="P19" s="225"/>
    </row>
    <row r="20" spans="2:16" ht="14.25" x14ac:dyDescent="0.2">
      <c r="B20" s="229" t="e">
        <f>+A.P.U!#REF!</f>
        <v>#REF!</v>
      </c>
      <c r="C20" s="218" t="s">
        <v>1265</v>
      </c>
      <c r="D20" s="232">
        <f>+Presupuesto!D6</f>
        <v>909.5</v>
      </c>
      <c r="E20" s="233" t="e">
        <f>+A.P.U!#REF!</f>
        <v>#REF!</v>
      </c>
      <c r="F20" s="213">
        <v>0</v>
      </c>
      <c r="G20" s="193">
        <v>0</v>
      </c>
      <c r="I20" s="222"/>
      <c r="J20" s="220"/>
      <c r="K20" s="222"/>
      <c r="L20" s="223"/>
      <c r="M20" s="222"/>
      <c r="N20" s="223"/>
      <c r="O20" s="223"/>
      <c r="P20" s="225"/>
    </row>
    <row r="21" spans="2:16" ht="14.25" x14ac:dyDescent="0.2">
      <c r="B21" s="217" t="s">
        <v>699</v>
      </c>
      <c r="C21" s="218" t="s">
        <v>2012</v>
      </c>
      <c r="D21" s="232">
        <f>+G8</f>
        <v>10</v>
      </c>
      <c r="E21" s="233">
        <v>200000</v>
      </c>
      <c r="F21" s="213">
        <v>0</v>
      </c>
      <c r="G21" s="193">
        <f t="shared" si="2"/>
        <v>0</v>
      </c>
      <c r="I21" s="222"/>
      <c r="J21" s="220"/>
      <c r="K21" s="222"/>
      <c r="L21" s="223"/>
      <c r="M21" s="222"/>
      <c r="N21" s="223"/>
      <c r="O21" s="223"/>
      <c r="P21" s="225"/>
    </row>
    <row r="22" spans="2:16" ht="14.25" x14ac:dyDescent="0.2">
      <c r="B22" s="217" t="s">
        <v>700</v>
      </c>
      <c r="C22" s="218" t="s">
        <v>2012</v>
      </c>
      <c r="D22" s="232">
        <f>+G8</f>
        <v>10</v>
      </c>
      <c r="E22" s="233">
        <v>200000</v>
      </c>
      <c r="F22" s="213">
        <v>0</v>
      </c>
      <c r="G22" s="193">
        <f t="shared" si="2"/>
        <v>0</v>
      </c>
      <c r="I22" s="222"/>
      <c r="J22" s="220"/>
      <c r="K22" s="222"/>
      <c r="L22" s="223"/>
      <c r="M22" s="222"/>
      <c r="N22" s="223"/>
      <c r="O22" s="223"/>
      <c r="P22" s="225"/>
    </row>
    <row r="23" spans="2:16" ht="14.25" x14ac:dyDescent="0.2">
      <c r="B23" s="217" t="s">
        <v>2081</v>
      </c>
      <c r="C23" s="218" t="s">
        <v>2012</v>
      </c>
      <c r="D23" s="232">
        <f>+G8</f>
        <v>10</v>
      </c>
      <c r="E23" s="233">
        <v>100000</v>
      </c>
      <c r="F23" s="213">
        <v>0</v>
      </c>
      <c r="G23" s="193">
        <f t="shared" si="2"/>
        <v>0</v>
      </c>
      <c r="I23" s="222"/>
      <c r="J23" s="220"/>
      <c r="K23" s="222"/>
      <c r="L23" s="223"/>
      <c r="M23" s="222"/>
      <c r="N23" s="223"/>
      <c r="O23" s="223"/>
      <c r="P23" s="225"/>
    </row>
    <row r="24" spans="2:16" ht="14.25" x14ac:dyDescent="0.2">
      <c r="B24" s="217" t="s">
        <v>701</v>
      </c>
      <c r="C24" s="218" t="s">
        <v>2012</v>
      </c>
      <c r="D24" s="232">
        <f>$G$8</f>
        <v>10</v>
      </c>
      <c r="E24" s="233">
        <v>100000</v>
      </c>
      <c r="F24" s="213">
        <v>0</v>
      </c>
      <c r="G24" s="193">
        <f t="shared" si="2"/>
        <v>0</v>
      </c>
      <c r="I24" s="222"/>
      <c r="J24" s="220"/>
      <c r="K24" s="222"/>
      <c r="L24" s="223"/>
      <c r="M24" s="222"/>
      <c r="N24" s="223"/>
      <c r="O24" s="223"/>
      <c r="P24" s="225"/>
    </row>
    <row r="25" spans="2:16" ht="14.25" x14ac:dyDescent="0.2">
      <c r="B25" s="217" t="s">
        <v>2094</v>
      </c>
      <c r="C25" s="218" t="s">
        <v>2012</v>
      </c>
      <c r="D25" s="212">
        <f>$G$8</f>
        <v>10</v>
      </c>
      <c r="E25" s="219">
        <v>280000</v>
      </c>
      <c r="F25" s="213">
        <v>0</v>
      </c>
      <c r="G25" s="193">
        <f t="shared" si="2"/>
        <v>0</v>
      </c>
      <c r="I25" s="222"/>
      <c r="J25" s="220"/>
      <c r="K25" s="222"/>
      <c r="L25" s="223"/>
      <c r="M25" s="222"/>
      <c r="N25" s="223"/>
      <c r="O25" s="223"/>
      <c r="P25" s="225"/>
    </row>
    <row r="26" spans="2:16" ht="14.25" x14ac:dyDescent="0.2">
      <c r="B26" s="217" t="s">
        <v>702</v>
      </c>
      <c r="C26" s="218" t="s">
        <v>913</v>
      </c>
      <c r="D26" s="232">
        <v>1</v>
      </c>
      <c r="E26" s="233">
        <v>500000</v>
      </c>
      <c r="F26" s="213">
        <v>0</v>
      </c>
      <c r="G26" s="193">
        <f t="shared" si="2"/>
        <v>0</v>
      </c>
      <c r="I26" s="222"/>
      <c r="J26" s="220"/>
      <c r="K26" s="222"/>
      <c r="L26" s="223"/>
      <c r="M26" s="222"/>
      <c r="N26" s="223"/>
      <c r="O26" s="223"/>
    </row>
    <row r="27" spans="2:16" ht="15" x14ac:dyDescent="0.25">
      <c r="B27" s="226" t="s">
        <v>703</v>
      </c>
      <c r="C27" s="218"/>
      <c r="D27" s="212"/>
      <c r="E27" s="233"/>
      <c r="F27" s="213"/>
      <c r="G27" s="193"/>
      <c r="I27" s="222">
        <v>862386.92</v>
      </c>
      <c r="J27" s="223">
        <v>2.3200004955579E-4</v>
      </c>
      <c r="K27" s="222">
        <v>241782.28</v>
      </c>
      <c r="L27" s="223">
        <v>1.5381945919306177E-4</v>
      </c>
      <c r="M27" s="222">
        <v>58617.120000000003</v>
      </c>
      <c r="N27" s="223">
        <v>1.34752E-4</v>
      </c>
      <c r="O27" s="223">
        <v>1.7352383624961727E-4</v>
      </c>
    </row>
    <row r="28" spans="2:16" ht="16.5" customHeight="1" x14ac:dyDescent="0.2">
      <c r="B28" s="217" t="s">
        <v>704</v>
      </c>
      <c r="C28" s="218" t="s">
        <v>695</v>
      </c>
      <c r="D28" s="227">
        <v>1.1599999357147811E-3</v>
      </c>
      <c r="E28" s="233">
        <f>+$G$12</f>
        <v>0</v>
      </c>
      <c r="F28" s="213">
        <v>1</v>
      </c>
      <c r="G28" s="193">
        <f t="shared" ref="G28:G39" si="3">+ROUND(E28*D28*F28,0)</f>
        <v>0</v>
      </c>
      <c r="I28" s="222">
        <v>1293579.8</v>
      </c>
      <c r="J28" s="223">
        <v>3.4799991830160055E-4</v>
      </c>
      <c r="K28" s="222">
        <v>729341.88</v>
      </c>
      <c r="L28" s="223">
        <v>4.6399998191948131E-4</v>
      </c>
      <c r="M28" s="222">
        <v>163960.20000000001</v>
      </c>
      <c r="N28" s="223">
        <v>3.7691999999999994E-4</v>
      </c>
      <c r="O28" s="223">
        <v>3.9630663340702726E-4</v>
      </c>
    </row>
    <row r="29" spans="2:16" ht="16.5" customHeight="1" x14ac:dyDescent="0.2">
      <c r="B29" s="228" t="s">
        <v>705</v>
      </c>
      <c r="C29" s="218" t="s">
        <v>695</v>
      </c>
      <c r="D29" s="227">
        <v>2.3200004955579E-4</v>
      </c>
      <c r="E29" s="219">
        <f t="shared" ref="E29:E39" si="4">+$G$12</f>
        <v>0</v>
      </c>
      <c r="F29" s="213">
        <v>1</v>
      </c>
      <c r="G29" s="193">
        <f t="shared" si="3"/>
        <v>0</v>
      </c>
      <c r="I29" s="222">
        <v>9055060.9199999999</v>
      </c>
      <c r="J29" s="223">
        <v>2.4360000522395419E-3</v>
      </c>
      <c r="K29" s="222">
        <v>5470064.6799999997</v>
      </c>
      <c r="L29" s="223">
        <v>3.4800002333862869E-3</v>
      </c>
      <c r="M29" s="222">
        <v>1514629.4</v>
      </c>
      <c r="N29" s="223">
        <v>3.4819066666666666E-3</v>
      </c>
      <c r="O29" s="223">
        <v>3.1326356507641651E-3</v>
      </c>
    </row>
    <row r="30" spans="2:16" ht="14.25" x14ac:dyDescent="0.2">
      <c r="B30" s="228" t="s">
        <v>706</v>
      </c>
      <c r="C30" s="218" t="s">
        <v>695</v>
      </c>
      <c r="D30" s="227">
        <v>3.4799991830160055E-4</v>
      </c>
      <c r="E30" s="219">
        <f t="shared" si="4"/>
        <v>0</v>
      </c>
      <c r="F30" s="213">
        <v>1</v>
      </c>
      <c r="G30" s="193">
        <f t="shared" si="3"/>
        <v>0</v>
      </c>
      <c r="I30" s="222">
        <v>4311933.4400000004</v>
      </c>
      <c r="J30" s="223">
        <v>1.1599999357147811E-3</v>
      </c>
      <c r="K30" s="222">
        <v>2185028.2000000002</v>
      </c>
      <c r="L30" s="223">
        <v>1.3900930045228676E-3</v>
      </c>
      <c r="M30" s="222">
        <v>567364.12</v>
      </c>
      <c r="N30" s="223">
        <v>1.3042853333333332E-3</v>
      </c>
      <c r="O30" s="223">
        <v>1.2847927578569938E-3</v>
      </c>
    </row>
    <row r="31" spans="2:16" ht="14.25" x14ac:dyDescent="0.2">
      <c r="B31" s="217" t="s">
        <v>707</v>
      </c>
      <c r="C31" s="218" t="s">
        <v>695</v>
      </c>
      <c r="D31" s="227">
        <v>2.4360000522395419E-3</v>
      </c>
      <c r="E31" s="219">
        <f t="shared" si="4"/>
        <v>0</v>
      </c>
      <c r="F31" s="213">
        <v>1</v>
      </c>
      <c r="G31" s="193">
        <f t="shared" si="3"/>
        <v>0</v>
      </c>
    </row>
    <row r="32" spans="2:16" ht="14.25" x14ac:dyDescent="0.2">
      <c r="B32" s="217" t="s">
        <v>708</v>
      </c>
      <c r="C32" s="218" t="s">
        <v>695</v>
      </c>
      <c r="D32" s="227">
        <v>1.1599999357147811E-3</v>
      </c>
      <c r="E32" s="219">
        <f t="shared" si="4"/>
        <v>0</v>
      </c>
      <c r="F32" s="213">
        <v>1</v>
      </c>
      <c r="G32" s="193">
        <f t="shared" si="3"/>
        <v>0</v>
      </c>
    </row>
    <row r="33" spans="2:18" ht="14.25" x14ac:dyDescent="0.2">
      <c r="B33" s="217" t="s">
        <v>2121</v>
      </c>
      <c r="C33" s="218" t="s">
        <v>695</v>
      </c>
      <c r="D33" s="227">
        <v>0.01</v>
      </c>
      <c r="E33" s="219">
        <f t="shared" si="4"/>
        <v>0</v>
      </c>
      <c r="F33" s="213">
        <v>1</v>
      </c>
      <c r="G33" s="193">
        <f t="shared" si="3"/>
        <v>0</v>
      </c>
    </row>
    <row r="34" spans="2:18" ht="14.25" x14ac:dyDescent="0.2">
      <c r="B34" s="217" t="s">
        <v>2096</v>
      </c>
      <c r="C34" s="218" t="s">
        <v>695</v>
      </c>
      <c r="D34" s="227">
        <v>0.05</v>
      </c>
      <c r="E34" s="219">
        <f t="shared" si="4"/>
        <v>0</v>
      </c>
      <c r="F34" s="213">
        <v>1</v>
      </c>
      <c r="G34" s="193">
        <f t="shared" si="3"/>
        <v>0</v>
      </c>
    </row>
    <row r="35" spans="2:18" ht="26.25" customHeight="1" x14ac:dyDescent="0.2">
      <c r="B35" s="229" t="s">
        <v>709</v>
      </c>
      <c r="C35" s="218" t="s">
        <v>695</v>
      </c>
      <c r="D35" s="227">
        <v>0.01</v>
      </c>
      <c r="E35" s="219">
        <f t="shared" si="4"/>
        <v>0</v>
      </c>
      <c r="F35" s="213">
        <v>1</v>
      </c>
      <c r="G35" s="193">
        <f t="shared" si="3"/>
        <v>0</v>
      </c>
    </row>
    <row r="36" spans="2:18" ht="12.75" customHeight="1" x14ac:dyDescent="0.2">
      <c r="B36" s="217" t="s">
        <v>710</v>
      </c>
      <c r="C36" s="218" t="s">
        <v>695</v>
      </c>
      <c r="D36" s="227">
        <v>0.02</v>
      </c>
      <c r="E36" s="219">
        <f t="shared" si="4"/>
        <v>0</v>
      </c>
      <c r="F36" s="213">
        <v>1</v>
      </c>
      <c r="G36" s="193">
        <f t="shared" si="3"/>
        <v>0</v>
      </c>
    </row>
    <row r="37" spans="2:18" ht="12.75" customHeight="1" x14ac:dyDescent="0.2">
      <c r="B37" s="217" t="s">
        <v>711</v>
      </c>
      <c r="C37" s="218" t="s">
        <v>695</v>
      </c>
      <c r="D37" s="227">
        <v>1E-3</v>
      </c>
      <c r="E37" s="219">
        <f t="shared" si="4"/>
        <v>0</v>
      </c>
      <c r="F37" s="213">
        <v>1</v>
      </c>
      <c r="G37" s="193">
        <f t="shared" si="3"/>
        <v>0</v>
      </c>
    </row>
    <row r="38" spans="2:18" ht="12.75" customHeight="1" x14ac:dyDescent="0.2">
      <c r="B38" s="217" t="s">
        <v>2637</v>
      </c>
      <c r="C38" s="218" t="s">
        <v>695</v>
      </c>
      <c r="D38" s="227">
        <v>0.01</v>
      </c>
      <c r="E38" s="219">
        <f t="shared" si="4"/>
        <v>0</v>
      </c>
      <c r="F38" s="213">
        <v>1</v>
      </c>
      <c r="G38" s="193">
        <f t="shared" si="3"/>
        <v>0</v>
      </c>
    </row>
    <row r="39" spans="2:18" ht="12.75" customHeight="1" x14ac:dyDescent="0.2">
      <c r="B39" s="217" t="s">
        <v>712</v>
      </c>
      <c r="C39" s="218" t="s">
        <v>695</v>
      </c>
      <c r="D39" s="227">
        <v>0</v>
      </c>
      <c r="E39" s="219">
        <f t="shared" si="4"/>
        <v>0</v>
      </c>
      <c r="F39" s="213">
        <v>0</v>
      </c>
      <c r="G39" s="193">
        <f t="shared" si="3"/>
        <v>0</v>
      </c>
    </row>
    <row r="40" spans="2:18" ht="14.25" customHeight="1" x14ac:dyDescent="0.25">
      <c r="B40" s="226" t="s">
        <v>713</v>
      </c>
      <c r="C40" s="218"/>
      <c r="D40" s="227"/>
      <c r="E40" s="219"/>
      <c r="F40" s="213"/>
      <c r="G40" s="193"/>
      <c r="I40" s="222"/>
      <c r="J40" s="220"/>
      <c r="K40" s="222"/>
      <c r="L40" s="223"/>
      <c r="M40" s="222"/>
      <c r="N40" s="223"/>
      <c r="O40" s="223"/>
    </row>
    <row r="41" spans="2:18" ht="14.25" x14ac:dyDescent="0.2">
      <c r="B41" s="217" t="s">
        <v>714</v>
      </c>
      <c r="C41" s="218" t="s">
        <v>2012</v>
      </c>
      <c r="D41" s="212">
        <f>G8</f>
        <v>10</v>
      </c>
      <c r="E41" s="219">
        <f>+T11</f>
        <v>1137500</v>
      </c>
      <c r="F41" s="213">
        <v>0</v>
      </c>
      <c r="G41" s="193">
        <f>+ROUND(E41*D41*F41,0)</f>
        <v>0</v>
      </c>
      <c r="I41" s="222"/>
      <c r="J41" s="220"/>
      <c r="K41" s="222"/>
      <c r="L41" s="223"/>
      <c r="M41" s="222"/>
      <c r="N41" s="223"/>
      <c r="O41" s="223"/>
    </row>
    <row r="42" spans="2:18" ht="12.75" customHeight="1" thickBot="1" x14ac:dyDescent="0.25">
      <c r="B42" s="217" t="s">
        <v>715</v>
      </c>
      <c r="C42" s="218" t="s">
        <v>716</v>
      </c>
      <c r="D42" s="212">
        <v>10</v>
      </c>
      <c r="E42" s="219">
        <v>500000</v>
      </c>
      <c r="F42" s="213">
        <v>0</v>
      </c>
      <c r="G42" s="193">
        <f>+ROUND(E42*D42*F42,0)</f>
        <v>0</v>
      </c>
    </row>
    <row r="43" spans="2:18" ht="14.25" x14ac:dyDescent="0.2">
      <c r="B43" s="217" t="s">
        <v>725</v>
      </c>
      <c r="C43" s="230" t="s">
        <v>2012</v>
      </c>
      <c r="D43" s="212">
        <f>G8</f>
        <v>10</v>
      </c>
      <c r="E43" s="219">
        <f>+T13</f>
        <v>1347500</v>
      </c>
      <c r="F43" s="235">
        <v>0</v>
      </c>
      <c r="G43" s="193">
        <f>+ROUND(E43*D43*F43,0)</f>
        <v>0</v>
      </c>
      <c r="Q43" s="1697" t="e">
        <f>+G56</f>
        <v>#REF!</v>
      </c>
      <c r="R43" s="1698"/>
    </row>
    <row r="44" spans="2:18" ht="12.75" customHeight="1" x14ac:dyDescent="0.2">
      <c r="B44" s="217" t="s">
        <v>726</v>
      </c>
      <c r="C44" s="218" t="s">
        <v>2012</v>
      </c>
      <c r="D44" s="212">
        <f>G8</f>
        <v>10</v>
      </c>
      <c r="E44" s="219">
        <f>+T14</f>
        <v>1345313</v>
      </c>
      <c r="F44" s="235">
        <v>0</v>
      </c>
      <c r="G44" s="193">
        <f>+ROUND(E44*D44*F44,0)</f>
        <v>0</v>
      </c>
      <c r="Q44" s="1699"/>
      <c r="R44" s="1700"/>
    </row>
    <row r="45" spans="2:18" ht="12.75" customHeight="1" thickBot="1" x14ac:dyDescent="0.25">
      <c r="B45" s="284" t="s">
        <v>717</v>
      </c>
      <c r="C45" s="289"/>
      <c r="D45" s="290"/>
      <c r="E45" s="219"/>
      <c r="F45" s="291"/>
      <c r="G45" s="283"/>
      <c r="Q45" s="1701"/>
      <c r="R45" s="1702"/>
    </row>
    <row r="46" spans="2:18" ht="14.25" x14ac:dyDescent="0.2">
      <c r="B46" s="190" t="s">
        <v>718</v>
      </c>
      <c r="C46" s="289" t="s">
        <v>2012</v>
      </c>
      <c r="D46" s="290">
        <v>10</v>
      </c>
      <c r="E46" s="219">
        <f>+T7</f>
        <v>7680000</v>
      </c>
      <c r="F46" s="292">
        <v>0</v>
      </c>
      <c r="G46" s="283">
        <f>+ROUND(E46*D46*F46,0)</f>
        <v>0</v>
      </c>
    </row>
    <row r="47" spans="2:18" ht="14.25" x14ac:dyDescent="0.2">
      <c r="B47" s="190" t="s">
        <v>719</v>
      </c>
      <c r="C47" s="289" t="s">
        <v>2012</v>
      </c>
      <c r="D47" s="290">
        <v>10</v>
      </c>
      <c r="E47" s="219">
        <f>+T8</f>
        <v>4480000</v>
      </c>
      <c r="F47" s="292">
        <v>0</v>
      </c>
      <c r="G47" s="283">
        <f>+ROUND(E47*D47*F47,0)</f>
        <v>0</v>
      </c>
    </row>
    <row r="48" spans="2:18" ht="12.75" customHeight="1" x14ac:dyDescent="0.2">
      <c r="B48" s="190" t="s">
        <v>2093</v>
      </c>
      <c r="C48" s="289" t="s">
        <v>2012</v>
      </c>
      <c r="D48" s="290">
        <v>10</v>
      </c>
      <c r="E48" s="219">
        <f>+T10</f>
        <v>3360000</v>
      </c>
      <c r="F48" s="292">
        <v>0</v>
      </c>
      <c r="G48" s="283">
        <f>+ROUND(E48*D48*F48,0)</f>
        <v>0</v>
      </c>
    </row>
    <row r="49" spans="2:7" ht="14.25" x14ac:dyDescent="0.2">
      <c r="B49" s="190"/>
      <c r="C49" s="191"/>
      <c r="D49" s="191"/>
      <c r="E49" s="219"/>
      <c r="F49" s="219"/>
      <c r="G49" s="283"/>
    </row>
    <row r="50" spans="2:7" ht="14.25" customHeight="1" x14ac:dyDescent="0.2">
      <c r="B50" s="285" t="s">
        <v>720</v>
      </c>
      <c r="C50" s="191"/>
      <c r="D50" s="191"/>
      <c r="E50" s="219"/>
      <c r="F50" s="219"/>
      <c r="G50" s="283" t="e">
        <f>SUM(G15:G49)</f>
        <v>#REF!</v>
      </c>
    </row>
    <row r="51" spans="2:7" ht="15" customHeight="1" x14ac:dyDescent="0.2">
      <c r="B51" s="190"/>
      <c r="C51" s="191"/>
      <c r="D51" s="191"/>
      <c r="E51" s="219"/>
      <c r="F51" s="219"/>
      <c r="G51" s="283"/>
    </row>
    <row r="52" spans="2:7" ht="14.25" x14ac:dyDescent="0.2">
      <c r="B52" s="295" t="s">
        <v>721</v>
      </c>
      <c r="C52" s="191"/>
      <c r="D52" s="191"/>
      <c r="E52" s="219"/>
      <c r="F52" s="219"/>
      <c r="G52" s="304" t="e">
        <f>+G50/G9</f>
        <v>#REF!</v>
      </c>
    </row>
    <row r="53" spans="2:7" ht="14.25" x14ac:dyDescent="0.2">
      <c r="B53" s="190" t="s">
        <v>722</v>
      </c>
      <c r="C53" s="191"/>
      <c r="D53" s="191"/>
      <c r="E53" s="219"/>
      <c r="F53" s="219"/>
      <c r="G53" s="287">
        <v>0</v>
      </c>
    </row>
    <row r="54" spans="2:7" ht="14.25" x14ac:dyDescent="0.2">
      <c r="B54" s="190" t="s">
        <v>723</v>
      </c>
      <c r="C54" s="191"/>
      <c r="D54" s="191"/>
      <c r="E54" s="219"/>
      <c r="F54" s="219"/>
      <c r="G54" s="287">
        <v>0.05</v>
      </c>
    </row>
    <row r="55" spans="2:7" ht="15.75" customHeight="1" x14ac:dyDescent="0.25">
      <c r="B55" s="186"/>
      <c r="C55" s="293"/>
      <c r="D55" s="293"/>
      <c r="E55" s="293"/>
      <c r="F55" s="293"/>
      <c r="G55" s="288"/>
    </row>
    <row r="56" spans="2:7" ht="16.5" thickBot="1" x14ac:dyDescent="0.3">
      <c r="B56" s="286" t="s">
        <v>724</v>
      </c>
      <c r="C56" s="294"/>
      <c r="D56" s="294"/>
      <c r="E56" s="294"/>
      <c r="F56" s="294"/>
      <c r="G56" s="313" t="e">
        <f>SUM(G52:G54)</f>
        <v>#REF!</v>
      </c>
    </row>
    <row r="57" spans="2:7" x14ac:dyDescent="0.2">
      <c r="B57" s="181"/>
      <c r="C57" s="181"/>
      <c r="D57" s="181"/>
      <c r="E57" s="181"/>
      <c r="F57" s="181"/>
      <c r="G57" s="231"/>
    </row>
  </sheetData>
  <mergeCells count="6">
    <mergeCell ref="Q43:R45"/>
    <mergeCell ref="A1:G1"/>
    <mergeCell ref="A2:G2"/>
    <mergeCell ref="B4:G4"/>
    <mergeCell ref="B5:G6"/>
    <mergeCell ref="I15:O15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6"/>
  <sheetViews>
    <sheetView view="pageBreakPreview" zoomScale="60" workbookViewId="0">
      <selection activeCell="F55" sqref="F54:F55"/>
    </sheetView>
  </sheetViews>
  <sheetFormatPr baseColWidth="10" defaultRowHeight="12.75" x14ac:dyDescent="0.2"/>
  <sheetData>
    <row r="1" spans="2:6" x14ac:dyDescent="0.2">
      <c r="B1" s="1884" t="s">
        <v>2686</v>
      </c>
      <c r="C1" s="1885"/>
      <c r="D1" s="1885"/>
      <c r="E1" s="1885"/>
      <c r="F1" s="1885"/>
    </row>
    <row r="2" spans="2:6" ht="15" x14ac:dyDescent="0.25">
      <c r="B2" s="1881" t="s">
        <v>2676</v>
      </c>
      <c r="C2" s="724" t="s">
        <v>2320</v>
      </c>
      <c r="D2" s="725" t="s">
        <v>2320</v>
      </c>
      <c r="E2" s="1883" t="s">
        <v>2677</v>
      </c>
      <c r="F2" s="1883" t="s">
        <v>2678</v>
      </c>
    </row>
    <row r="3" spans="2:6" ht="15" x14ac:dyDescent="0.25">
      <c r="B3" s="1882"/>
      <c r="C3" s="724" t="s">
        <v>2325</v>
      </c>
      <c r="D3" s="725" t="s">
        <v>2679</v>
      </c>
      <c r="E3" s="1883"/>
      <c r="F3" s="1883"/>
    </row>
    <row r="4" spans="2:6" x14ac:dyDescent="0.2">
      <c r="B4" s="672">
        <v>1</v>
      </c>
      <c r="C4" s="672">
        <v>208.67</v>
      </c>
      <c r="D4" s="727">
        <v>8</v>
      </c>
      <c r="E4" s="672">
        <v>40</v>
      </c>
      <c r="F4" s="726">
        <f>+E4/0.7</f>
        <v>57.142857142857146</v>
      </c>
    </row>
    <row r="5" spans="2:6" x14ac:dyDescent="0.2">
      <c r="B5" s="672">
        <v>2</v>
      </c>
      <c r="C5" s="672">
        <v>208.67</v>
      </c>
      <c r="D5" s="727">
        <v>8</v>
      </c>
      <c r="E5" s="672">
        <v>20</v>
      </c>
      <c r="F5" s="726">
        <f t="shared" ref="F5:F19" si="0">+E5/0.7</f>
        <v>28.571428571428573</v>
      </c>
    </row>
    <row r="6" spans="2:6" x14ac:dyDescent="0.2">
      <c r="B6" s="672">
        <v>3</v>
      </c>
      <c r="C6" s="672">
        <v>160.25</v>
      </c>
      <c r="D6" s="728">
        <v>6</v>
      </c>
      <c r="E6" s="672">
        <v>36</v>
      </c>
      <c r="F6" s="726">
        <f t="shared" si="0"/>
        <v>51.428571428571431</v>
      </c>
    </row>
    <row r="7" spans="2:6" x14ac:dyDescent="0.2">
      <c r="B7" s="672">
        <v>4</v>
      </c>
      <c r="C7" s="672">
        <v>84.66</v>
      </c>
      <c r="D7" s="730">
        <v>3</v>
      </c>
      <c r="E7" s="672">
        <v>30</v>
      </c>
      <c r="F7" s="726">
        <f t="shared" si="0"/>
        <v>42.857142857142861</v>
      </c>
    </row>
    <row r="8" spans="2:6" x14ac:dyDescent="0.2">
      <c r="B8" s="672">
        <v>5</v>
      </c>
      <c r="C8" s="672">
        <v>108.86</v>
      </c>
      <c r="D8" s="729">
        <v>4</v>
      </c>
      <c r="E8" s="672">
        <v>30</v>
      </c>
      <c r="F8" s="726">
        <f t="shared" si="0"/>
        <v>42.857142857142861</v>
      </c>
    </row>
    <row r="9" spans="2:6" x14ac:dyDescent="0.2">
      <c r="B9" s="672">
        <v>6</v>
      </c>
      <c r="C9" s="672">
        <v>108.86</v>
      </c>
      <c r="D9" s="729">
        <v>4</v>
      </c>
      <c r="E9" s="672">
        <v>30</v>
      </c>
      <c r="F9" s="726">
        <f t="shared" si="0"/>
        <v>42.857142857142861</v>
      </c>
    </row>
    <row r="10" spans="2:6" x14ac:dyDescent="0.2">
      <c r="B10" s="672">
        <v>7</v>
      </c>
      <c r="C10" s="672">
        <v>84.66</v>
      </c>
      <c r="D10" s="730">
        <v>3</v>
      </c>
      <c r="E10" s="672">
        <v>30</v>
      </c>
      <c r="F10" s="726">
        <f t="shared" si="0"/>
        <v>42.857142857142861</v>
      </c>
    </row>
    <row r="11" spans="2:6" x14ac:dyDescent="0.2">
      <c r="B11" s="672">
        <v>8</v>
      </c>
      <c r="C11" s="672">
        <v>160.25</v>
      </c>
      <c r="D11" s="728">
        <v>6</v>
      </c>
      <c r="E11" s="672">
        <v>20</v>
      </c>
      <c r="F11" s="726">
        <f t="shared" si="0"/>
        <v>28.571428571428573</v>
      </c>
    </row>
    <row r="12" spans="2:6" x14ac:dyDescent="0.2">
      <c r="B12" s="672">
        <v>9</v>
      </c>
      <c r="C12" s="672">
        <v>108.86</v>
      </c>
      <c r="D12" s="729">
        <v>4</v>
      </c>
      <c r="E12" s="672">
        <v>20</v>
      </c>
      <c r="F12" s="726">
        <f t="shared" si="0"/>
        <v>28.571428571428573</v>
      </c>
    </row>
    <row r="13" spans="2:6" x14ac:dyDescent="0.2">
      <c r="B13" s="672">
        <v>10</v>
      </c>
      <c r="C13" s="672">
        <v>160.25</v>
      </c>
      <c r="D13" s="728">
        <v>6</v>
      </c>
      <c r="E13" s="672">
        <v>20</v>
      </c>
      <c r="F13" s="726">
        <f t="shared" si="0"/>
        <v>28.571428571428573</v>
      </c>
    </row>
    <row r="14" spans="2:6" x14ac:dyDescent="0.2">
      <c r="B14" s="672">
        <v>12</v>
      </c>
      <c r="C14" s="672">
        <v>57.95</v>
      </c>
      <c r="D14" s="672">
        <v>2</v>
      </c>
      <c r="E14" s="672">
        <v>30</v>
      </c>
      <c r="F14" s="726">
        <f t="shared" si="0"/>
        <v>42.857142857142861</v>
      </c>
    </row>
    <row r="15" spans="2:6" x14ac:dyDescent="0.2">
      <c r="B15" s="672">
        <v>13</v>
      </c>
      <c r="C15" s="672">
        <v>108.86</v>
      </c>
      <c r="D15" s="729">
        <v>4</v>
      </c>
      <c r="E15" s="672">
        <v>40</v>
      </c>
      <c r="F15" s="726">
        <f t="shared" si="0"/>
        <v>57.142857142857146</v>
      </c>
    </row>
    <row r="16" spans="2:6" x14ac:dyDescent="0.2">
      <c r="B16" s="672">
        <v>14</v>
      </c>
      <c r="C16" s="672">
        <v>108.86</v>
      </c>
      <c r="D16" s="729">
        <v>4</v>
      </c>
      <c r="E16" s="672">
        <v>20</v>
      </c>
      <c r="F16" s="726">
        <f t="shared" si="0"/>
        <v>28.571428571428573</v>
      </c>
    </row>
    <row r="17" spans="2:6" x14ac:dyDescent="0.2">
      <c r="B17" s="672">
        <v>15</v>
      </c>
      <c r="C17" s="672">
        <v>84.66</v>
      </c>
      <c r="D17" s="730">
        <v>3</v>
      </c>
      <c r="E17" s="672">
        <v>20</v>
      </c>
      <c r="F17" s="726">
        <f t="shared" si="0"/>
        <v>28.571428571428573</v>
      </c>
    </row>
    <row r="18" spans="2:6" x14ac:dyDescent="0.2">
      <c r="B18" s="672">
        <v>16</v>
      </c>
      <c r="C18" s="672">
        <v>57.95</v>
      </c>
      <c r="D18" s="672">
        <v>2</v>
      </c>
      <c r="E18" s="672">
        <v>38</v>
      </c>
      <c r="F18" s="726">
        <f t="shared" si="0"/>
        <v>54.285714285714292</v>
      </c>
    </row>
    <row r="19" spans="2:6" x14ac:dyDescent="0.2">
      <c r="B19" s="672">
        <v>17</v>
      </c>
      <c r="C19" s="672">
        <v>57.95</v>
      </c>
      <c r="D19" s="672">
        <v>2</v>
      </c>
      <c r="E19" s="672">
        <v>20</v>
      </c>
      <c r="F19" s="726">
        <f t="shared" si="0"/>
        <v>28.571428571428573</v>
      </c>
    </row>
    <row r="22" spans="2:6" x14ac:dyDescent="0.2">
      <c r="B22" s="719" t="s">
        <v>2680</v>
      </c>
      <c r="F22">
        <v>2</v>
      </c>
    </row>
    <row r="23" spans="2:6" x14ac:dyDescent="0.2">
      <c r="B23" s="719" t="s">
        <v>2681</v>
      </c>
      <c r="F23">
        <v>3</v>
      </c>
    </row>
    <row r="24" spans="2:6" x14ac:dyDescent="0.2">
      <c r="B24" s="719" t="s">
        <v>2682</v>
      </c>
      <c r="F24">
        <v>5</v>
      </c>
    </row>
    <row r="25" spans="2:6" x14ac:dyDescent="0.2">
      <c r="B25" s="719" t="s">
        <v>2683</v>
      </c>
      <c r="F25">
        <v>3</v>
      </c>
    </row>
    <row r="26" spans="2:6" x14ac:dyDescent="0.2">
      <c r="B26" s="719" t="s">
        <v>2684</v>
      </c>
      <c r="F26">
        <v>3</v>
      </c>
    </row>
  </sheetData>
  <mergeCells count="4">
    <mergeCell ref="B2:B3"/>
    <mergeCell ref="E2:E3"/>
    <mergeCell ref="F2:F3"/>
    <mergeCell ref="B1:F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AO22"/>
  <sheetViews>
    <sheetView view="pageBreakPreview" zoomScale="140" zoomScaleSheetLayoutView="140" workbookViewId="0">
      <selection activeCell="M20" sqref="M20"/>
    </sheetView>
  </sheetViews>
  <sheetFormatPr baseColWidth="10" defaultRowHeight="15" x14ac:dyDescent="0.25"/>
  <cols>
    <col min="1" max="1" width="19" style="704" customWidth="1"/>
    <col min="2" max="2" width="5.7109375" style="715" customWidth="1"/>
    <col min="3" max="3" width="5.85546875" style="715" customWidth="1"/>
    <col min="4" max="4" width="5.5703125" style="715" customWidth="1"/>
    <col min="5" max="6" width="6.42578125" style="715" customWidth="1"/>
    <col min="7" max="7" width="10.5703125" style="715" customWidth="1"/>
    <col min="8" max="8" width="19" style="704" customWidth="1"/>
    <col min="9" max="9" width="5.5703125" style="704" customWidth="1"/>
    <col min="10" max="10" width="5.42578125" style="704" customWidth="1"/>
    <col min="11" max="11" width="5.5703125" style="704" customWidth="1"/>
    <col min="12" max="12" width="5.28515625" style="704" customWidth="1"/>
    <col min="13" max="13" width="5.5703125" style="704" customWidth="1"/>
    <col min="14" max="14" width="5" style="704" customWidth="1"/>
    <col min="15" max="15" width="5.5703125" style="704" customWidth="1"/>
    <col min="16" max="16" width="5.28515625" style="704" customWidth="1"/>
    <col min="17" max="17" width="20.7109375" style="704" customWidth="1"/>
    <col min="18" max="19" width="10.7109375" style="704" customWidth="1"/>
    <col min="20" max="20" width="11.140625" style="704" customWidth="1"/>
    <col min="21" max="21" width="11" style="704" customWidth="1"/>
    <col min="22" max="22" width="18.85546875" style="704" customWidth="1"/>
    <col min="23" max="23" width="13.28515625" style="704" customWidth="1"/>
    <col min="24" max="24" width="11.85546875" style="704" customWidth="1"/>
    <col min="25" max="25" width="11.7109375" style="704" customWidth="1"/>
    <col min="26" max="26" width="11.28515625" style="704" customWidth="1"/>
    <col min="27" max="27" width="12" style="704" customWidth="1"/>
    <col min="28" max="28" width="11.5703125" style="704" customWidth="1"/>
    <col min="29" max="29" width="19" style="704" customWidth="1"/>
    <col min="30" max="31" width="8.42578125" style="704" customWidth="1"/>
    <col min="32" max="32" width="7.7109375" style="704" customWidth="1"/>
    <col min="33" max="33" width="8.42578125" style="704" customWidth="1"/>
    <col min="34" max="34" width="18.85546875" style="704" customWidth="1"/>
    <col min="35" max="35" width="10" style="704" customWidth="1"/>
    <col min="36" max="36" width="9.42578125" style="704" customWidth="1"/>
    <col min="37" max="37" width="9.28515625" style="704" customWidth="1"/>
    <col min="38" max="38" width="9.140625" style="704" customWidth="1"/>
    <col min="39" max="39" width="8.140625" style="704" customWidth="1"/>
    <col min="40" max="41" width="7.28515625" style="704" customWidth="1"/>
    <col min="42" max="16384" width="11.42578125" style="704"/>
  </cols>
  <sheetData>
    <row r="1" spans="1:41" x14ac:dyDescent="0.25">
      <c r="A1" s="1894" t="s">
        <v>2715</v>
      </c>
      <c r="B1" s="1894"/>
      <c r="C1" s="1894"/>
      <c r="D1" s="1894"/>
      <c r="E1" s="1894"/>
      <c r="F1" s="1894"/>
      <c r="G1" s="1894"/>
      <c r="H1" s="1894"/>
      <c r="I1" s="1894"/>
      <c r="J1" s="1894"/>
      <c r="K1" s="1894"/>
      <c r="L1" s="1894"/>
      <c r="M1" s="1894"/>
      <c r="N1" s="1894"/>
      <c r="O1" s="1894"/>
      <c r="P1" s="1894"/>
      <c r="Q1" s="1894" t="str">
        <f>+A1</f>
        <v>CANTIDADES DE OBRA ACUEDUCTO MANZANARES</v>
      </c>
      <c r="R1" s="1894"/>
      <c r="S1" s="1894"/>
      <c r="T1" s="1894"/>
      <c r="U1" s="1894"/>
      <c r="V1" s="1894"/>
      <c r="W1" s="1894"/>
      <c r="X1" s="1894"/>
      <c r="Y1" s="1894"/>
      <c r="Z1" s="1894"/>
      <c r="AA1" s="1894"/>
      <c r="AB1" s="1894"/>
      <c r="AC1" s="1894" t="str">
        <f>+Q1</f>
        <v>CANTIDADES DE OBRA ACUEDUCTO MANZANARES</v>
      </c>
      <c r="AD1" s="1894"/>
      <c r="AE1" s="1894"/>
      <c r="AF1" s="1894"/>
      <c r="AG1" s="1894"/>
      <c r="AH1" s="1894"/>
      <c r="AI1" s="1894"/>
      <c r="AJ1" s="1894"/>
      <c r="AK1" s="1894"/>
      <c r="AL1" s="1894"/>
      <c r="AM1" s="1894"/>
      <c r="AN1" s="1894"/>
      <c r="AO1" s="1894"/>
    </row>
    <row r="2" spans="1:41" x14ac:dyDescent="0.25">
      <c r="A2" s="1895"/>
      <c r="B2" s="1895"/>
      <c r="C2" s="1895"/>
      <c r="D2" s="1895"/>
      <c r="E2" s="1895"/>
      <c r="F2" s="1895"/>
      <c r="G2" s="1895"/>
      <c r="H2" s="1895"/>
      <c r="I2" s="1895"/>
      <c r="J2" s="1895"/>
      <c r="K2" s="1895"/>
      <c r="L2" s="1895"/>
      <c r="M2" s="1895"/>
      <c r="N2" s="1895"/>
      <c r="O2" s="1895"/>
      <c r="P2" s="1895"/>
      <c r="Q2" s="1895"/>
      <c r="R2" s="1895"/>
      <c r="S2" s="1895"/>
      <c r="T2" s="1895"/>
      <c r="U2" s="1895"/>
      <c r="V2" s="1895"/>
      <c r="W2" s="1895"/>
      <c r="X2" s="1895"/>
      <c r="Y2" s="1895"/>
      <c r="Z2" s="1895"/>
      <c r="AA2" s="1895"/>
      <c r="AB2" s="1895"/>
      <c r="AC2" s="1895"/>
      <c r="AD2" s="1895"/>
      <c r="AE2" s="1895"/>
      <c r="AF2" s="1895"/>
      <c r="AG2" s="1895"/>
      <c r="AH2" s="1895"/>
      <c r="AI2" s="1895"/>
      <c r="AJ2" s="1895"/>
      <c r="AK2" s="1895"/>
      <c r="AL2" s="1895"/>
      <c r="AM2" s="1895"/>
      <c r="AN2" s="1895"/>
      <c r="AO2" s="1895"/>
    </row>
    <row r="3" spans="1:41" s="706" customFormat="1" ht="32.25" customHeight="1" x14ac:dyDescent="0.25">
      <c r="A3" s="1899" t="s">
        <v>2635</v>
      </c>
      <c r="B3" s="712" t="s">
        <v>2585</v>
      </c>
      <c r="C3" s="712" t="s">
        <v>2586</v>
      </c>
      <c r="D3" s="712" t="s">
        <v>2587</v>
      </c>
      <c r="E3" s="712" t="s">
        <v>2588</v>
      </c>
      <c r="F3" s="712" t="s">
        <v>2632</v>
      </c>
      <c r="G3" s="1901" t="s">
        <v>2633</v>
      </c>
      <c r="H3" s="695" t="s">
        <v>2282</v>
      </c>
      <c r="I3" s="696" t="s">
        <v>2589</v>
      </c>
      <c r="J3" s="696" t="s">
        <v>2590</v>
      </c>
      <c r="K3" s="696" t="s">
        <v>2591</v>
      </c>
      <c r="L3" s="696" t="s">
        <v>2592</v>
      </c>
      <c r="M3" s="696" t="s">
        <v>2593</v>
      </c>
      <c r="N3" s="696" t="s">
        <v>2594</v>
      </c>
      <c r="O3" s="696" t="s">
        <v>2595</v>
      </c>
      <c r="P3" s="696" t="s">
        <v>2596</v>
      </c>
      <c r="Q3" s="695" t="s">
        <v>2282</v>
      </c>
      <c r="R3" s="697" t="s">
        <v>2597</v>
      </c>
      <c r="S3" s="697" t="s">
        <v>2598</v>
      </c>
      <c r="T3" s="697" t="s">
        <v>2599</v>
      </c>
      <c r="U3" s="697" t="s">
        <v>2600</v>
      </c>
      <c r="V3" s="695" t="s">
        <v>2282</v>
      </c>
      <c r="W3" s="698" t="s">
        <v>2601</v>
      </c>
      <c r="X3" s="698" t="s">
        <v>2602</v>
      </c>
      <c r="Y3" s="698" t="s">
        <v>2603</v>
      </c>
      <c r="Z3" s="698" t="s">
        <v>2604</v>
      </c>
      <c r="AA3" s="698" t="s">
        <v>2605</v>
      </c>
      <c r="AB3" s="698" t="s">
        <v>2606</v>
      </c>
      <c r="AC3" s="695" t="s">
        <v>2282</v>
      </c>
      <c r="AD3" s="696" t="s">
        <v>2607</v>
      </c>
      <c r="AE3" s="696" t="s">
        <v>2608</v>
      </c>
      <c r="AF3" s="696" t="s">
        <v>2609</v>
      </c>
      <c r="AG3" s="696" t="s">
        <v>2610</v>
      </c>
      <c r="AH3" s="695" t="s">
        <v>2282</v>
      </c>
      <c r="AI3" s="698" t="s">
        <v>2611</v>
      </c>
      <c r="AJ3" s="698" t="s">
        <v>2612</v>
      </c>
      <c r="AK3" s="699" t="s">
        <v>2613</v>
      </c>
      <c r="AL3" s="699" t="s">
        <v>2614</v>
      </c>
      <c r="AM3" s="699" t="s">
        <v>2716</v>
      </c>
      <c r="AN3" s="699" t="s">
        <v>2615</v>
      </c>
      <c r="AO3" s="699" t="s">
        <v>2616</v>
      </c>
    </row>
    <row r="4" spans="1:41" s="706" customFormat="1" ht="16.5" customHeight="1" x14ac:dyDescent="0.25">
      <c r="A4" s="1900"/>
      <c r="B4" s="1896" t="s">
        <v>2634</v>
      </c>
      <c r="C4" s="1897"/>
      <c r="D4" s="1897"/>
      <c r="E4" s="1897"/>
      <c r="F4" s="1898"/>
      <c r="G4" s="1902"/>
      <c r="H4" s="695"/>
      <c r="I4" s="696"/>
      <c r="J4" s="696"/>
      <c r="K4" s="696"/>
      <c r="L4" s="696"/>
      <c r="M4" s="696"/>
      <c r="N4" s="696"/>
      <c r="O4" s="696"/>
      <c r="P4" s="696"/>
      <c r="Q4" s="695"/>
      <c r="R4" s="697"/>
      <c r="S4" s="697"/>
      <c r="T4" s="697"/>
      <c r="U4" s="697"/>
      <c r="V4" s="695"/>
      <c r="W4" s="698"/>
      <c r="X4" s="698"/>
      <c r="Y4" s="698"/>
      <c r="Z4" s="698"/>
      <c r="AA4" s="698"/>
      <c r="AB4" s="698"/>
      <c r="AC4" s="695"/>
      <c r="AD4" s="696"/>
      <c r="AE4" s="696"/>
      <c r="AF4" s="696"/>
      <c r="AG4" s="696"/>
      <c r="AH4" s="695"/>
      <c r="AI4" s="698"/>
      <c r="AJ4" s="698"/>
      <c r="AK4" s="699"/>
      <c r="AL4" s="699"/>
      <c r="AM4" s="699"/>
      <c r="AN4" s="699"/>
      <c r="AO4" s="699"/>
    </row>
    <row r="5" spans="1:41" s="707" customFormat="1" x14ac:dyDescent="0.25">
      <c r="A5" s="784" t="s">
        <v>2711</v>
      </c>
      <c r="B5" s="713"/>
      <c r="C5" s="713"/>
      <c r="D5" s="713"/>
      <c r="E5" s="713">
        <v>43</v>
      </c>
      <c r="F5" s="713">
        <f>+B5+C5+D5+E5</f>
        <v>43</v>
      </c>
      <c r="G5" s="714">
        <f>+(F5/5)*2</f>
        <v>17.2</v>
      </c>
      <c r="H5" s="700" t="str">
        <f>+A5</f>
        <v>Cll3 entre Cras 2 y 3</v>
      </c>
      <c r="I5" s="701"/>
      <c r="J5" s="701"/>
      <c r="K5" s="701"/>
      <c r="L5" s="701"/>
      <c r="M5" s="701"/>
      <c r="N5" s="701"/>
      <c r="O5" s="701"/>
      <c r="P5" s="701"/>
      <c r="Q5" s="700" t="str">
        <f>+H5</f>
        <v>Cll3 entre Cras 2 y 3</v>
      </c>
      <c r="R5" s="702"/>
      <c r="S5" s="701"/>
      <c r="T5" s="701">
        <v>3</v>
      </c>
      <c r="U5" s="700"/>
      <c r="V5" s="700" t="str">
        <f>+Q5</f>
        <v>Cll3 entre Cras 2 y 3</v>
      </c>
      <c r="W5" s="703"/>
      <c r="X5" s="703"/>
      <c r="Y5" s="703">
        <v>1</v>
      </c>
      <c r="Z5" s="703"/>
      <c r="AA5" s="703"/>
      <c r="AB5" s="703"/>
      <c r="AC5" s="700" t="str">
        <f>+V5</f>
        <v>Cll3 entre Cras 2 y 3</v>
      </c>
      <c r="AD5" s="703"/>
      <c r="AE5" s="703"/>
      <c r="AF5" s="703"/>
      <c r="AG5" s="703"/>
      <c r="AH5" s="700" t="str">
        <f>+AC5</f>
        <v>Cll3 entre Cras 2 y 3</v>
      </c>
      <c r="AI5" s="703"/>
      <c r="AJ5" s="703">
        <v>1</v>
      </c>
      <c r="AK5" s="703"/>
      <c r="AL5" s="703"/>
      <c r="AM5" s="703"/>
      <c r="AN5" s="703">
        <v>1</v>
      </c>
      <c r="AO5" s="703"/>
    </row>
    <row r="6" spans="1:41" s="707" customFormat="1" x14ac:dyDescent="0.25">
      <c r="A6" s="784" t="s">
        <v>2712</v>
      </c>
      <c r="B6" s="713"/>
      <c r="C6" s="713"/>
      <c r="D6" s="713"/>
      <c r="E6" s="1077">
        <v>0</v>
      </c>
      <c r="F6" s="713">
        <f>+B6+C6+D6+E6</f>
        <v>0</v>
      </c>
      <c r="G6" s="714">
        <v>0</v>
      </c>
      <c r="H6" s="700" t="str">
        <f>+A6</f>
        <v>Cra 4 calle 1</v>
      </c>
      <c r="I6" s="701"/>
      <c r="J6" s="701"/>
      <c r="K6" s="701"/>
      <c r="L6" s="701"/>
      <c r="M6" s="701"/>
      <c r="N6" s="701"/>
      <c r="O6" s="701"/>
      <c r="P6" s="701"/>
      <c r="Q6" s="700" t="str">
        <f>+H6</f>
        <v>Cra 4 calle 1</v>
      </c>
      <c r="R6" s="702"/>
      <c r="S6" s="701">
        <v>4</v>
      </c>
      <c r="T6" s="703"/>
      <c r="U6" s="700"/>
      <c r="V6" s="700" t="str">
        <f>+Q6</f>
        <v>Cra 4 calle 1</v>
      </c>
      <c r="W6" s="703"/>
      <c r="X6" s="703"/>
      <c r="Y6" s="703"/>
      <c r="Z6" s="703"/>
      <c r="AA6" s="703"/>
      <c r="AB6" s="703"/>
      <c r="AC6" s="700" t="str">
        <f>+V6</f>
        <v>Cra 4 calle 1</v>
      </c>
      <c r="AD6" s="703"/>
      <c r="AE6" s="703">
        <v>2</v>
      </c>
      <c r="AF6" s="703"/>
      <c r="AG6" s="703"/>
      <c r="AH6" s="700" t="str">
        <f>+AC6</f>
        <v>Cra 4 calle 1</v>
      </c>
      <c r="AI6" s="703"/>
      <c r="AJ6" s="703"/>
      <c r="AK6" s="703">
        <v>1</v>
      </c>
      <c r="AL6" s="703"/>
      <c r="AM6" s="703">
        <v>1</v>
      </c>
      <c r="AN6" s="703"/>
      <c r="AO6" s="703"/>
    </row>
    <row r="7" spans="1:41" s="707" customFormat="1" x14ac:dyDescent="0.25">
      <c r="A7" s="784" t="s">
        <v>2713</v>
      </c>
      <c r="B7" s="713"/>
      <c r="C7" s="713"/>
      <c r="D7" s="713"/>
      <c r="E7" s="713"/>
      <c r="F7" s="713"/>
      <c r="G7" s="714">
        <v>0</v>
      </c>
      <c r="H7" s="700" t="str">
        <f>+A7</f>
        <v>Cra 4 calle 2</v>
      </c>
      <c r="I7" s="701"/>
      <c r="J7" s="701"/>
      <c r="K7" s="701"/>
      <c r="L7" s="701"/>
      <c r="M7" s="701"/>
      <c r="N7" s="701"/>
      <c r="O7" s="701"/>
      <c r="P7" s="701"/>
      <c r="Q7" s="700" t="str">
        <f>+H7</f>
        <v>Cra 4 calle 2</v>
      </c>
      <c r="R7" s="702"/>
      <c r="S7" s="701">
        <v>2</v>
      </c>
      <c r="T7" s="703"/>
      <c r="U7" s="700"/>
      <c r="V7" s="700" t="str">
        <f>+Q7</f>
        <v>Cra 4 calle 2</v>
      </c>
      <c r="W7" s="703"/>
      <c r="X7" s="703"/>
      <c r="Y7" s="703"/>
      <c r="Z7" s="703"/>
      <c r="AA7" s="703"/>
      <c r="AB7" s="703"/>
      <c r="AC7" s="700" t="str">
        <f>+V7</f>
        <v>Cra 4 calle 2</v>
      </c>
      <c r="AD7" s="703"/>
      <c r="AE7" s="703"/>
      <c r="AF7" s="703"/>
      <c r="AG7" s="703"/>
      <c r="AH7" s="700"/>
      <c r="AI7" s="703"/>
      <c r="AJ7" s="703"/>
      <c r="AK7" s="703">
        <v>1</v>
      </c>
      <c r="AL7" s="703"/>
      <c r="AM7" s="703"/>
      <c r="AN7" s="703"/>
      <c r="AO7" s="703"/>
    </row>
    <row r="8" spans="1:41" x14ac:dyDescent="0.25">
      <c r="A8" s="791"/>
      <c r="B8" s="792"/>
      <c r="C8" s="792"/>
      <c r="D8" s="792"/>
      <c r="E8" s="792"/>
      <c r="F8" s="793"/>
      <c r="G8" s="794"/>
      <c r="H8" s="795"/>
      <c r="I8" s="795"/>
      <c r="J8" s="795"/>
      <c r="K8" s="795"/>
      <c r="L8" s="795"/>
      <c r="M8" s="795"/>
      <c r="N8" s="715"/>
      <c r="O8" s="715"/>
      <c r="P8" s="715"/>
      <c r="R8" s="715"/>
      <c r="S8" s="715"/>
      <c r="T8" s="715"/>
      <c r="U8" s="715"/>
      <c r="W8" s="715"/>
      <c r="X8" s="715"/>
      <c r="Y8" s="715"/>
      <c r="Z8" s="715"/>
      <c r="AA8" s="715"/>
      <c r="AB8" s="715"/>
      <c r="AD8" s="715"/>
      <c r="AE8" s="715"/>
      <c r="AF8" s="715"/>
      <c r="AG8" s="715"/>
      <c r="AI8" s="715"/>
      <c r="AJ8" s="715"/>
      <c r="AK8" s="715"/>
      <c r="AL8" s="715"/>
      <c r="AM8" s="715"/>
      <c r="AN8" s="715"/>
      <c r="AO8" s="715"/>
    </row>
    <row r="9" spans="1:41" x14ac:dyDescent="0.25">
      <c r="G9" s="796"/>
      <c r="H9" s="797"/>
      <c r="I9" s="797"/>
      <c r="J9" s="797"/>
      <c r="K9" s="797"/>
      <c r="L9" s="797"/>
      <c r="M9" s="797"/>
    </row>
    <row r="10" spans="1:41" x14ac:dyDescent="0.25">
      <c r="A10" s="1904" t="s">
        <v>2617</v>
      </c>
      <c r="B10" s="1905"/>
      <c r="C10" s="716"/>
      <c r="D10" s="732" t="s">
        <v>2618</v>
      </c>
      <c r="E10" s="732"/>
      <c r="F10" s="776"/>
      <c r="G10" s="796"/>
      <c r="H10" s="797"/>
      <c r="I10" s="797"/>
      <c r="J10" s="797"/>
      <c r="K10" s="797"/>
      <c r="L10" s="797"/>
      <c r="M10" s="797"/>
    </row>
    <row r="11" spans="1:41" x14ac:dyDescent="0.25">
      <c r="A11" s="1906">
        <v>3</v>
      </c>
      <c r="B11" s="1906"/>
      <c r="C11" s="790">
        <v>0</v>
      </c>
      <c r="D11" s="1910">
        <f>+G5+G6</f>
        <v>17.2</v>
      </c>
      <c r="E11" s="1910"/>
      <c r="F11" s="1910"/>
      <c r="G11" s="1912"/>
      <c r="H11" s="1912"/>
      <c r="I11" s="1909"/>
      <c r="J11" s="1909"/>
      <c r="K11" s="1909"/>
      <c r="L11" s="715"/>
    </row>
    <row r="12" spans="1:41" x14ac:dyDescent="0.25">
      <c r="A12" s="1906" t="s">
        <v>2619</v>
      </c>
      <c r="B12" s="1906"/>
      <c r="C12" s="717">
        <v>0</v>
      </c>
      <c r="D12" s="1910"/>
      <c r="E12" s="1910"/>
      <c r="F12" s="1910"/>
      <c r="G12" s="1910"/>
      <c r="H12" s="1910"/>
      <c r="L12" s="705"/>
      <c r="O12" s="1893"/>
      <c r="P12" s="1893"/>
      <c r="Q12" s="1893"/>
      <c r="R12" s="1892"/>
      <c r="S12" s="1892"/>
      <c r="T12" s="1893"/>
    </row>
    <row r="13" spans="1:41" x14ac:dyDescent="0.25">
      <c r="A13" s="1907" t="s">
        <v>2636</v>
      </c>
      <c r="B13" s="1908"/>
      <c r="C13" s="717">
        <v>0</v>
      </c>
      <c r="D13" s="1910">
        <f>+G5+G6</f>
        <v>17.2</v>
      </c>
      <c r="E13" s="1910"/>
      <c r="F13" s="1910"/>
      <c r="G13" s="1910"/>
      <c r="H13" s="1910"/>
      <c r="L13" s="715"/>
      <c r="O13" s="785"/>
      <c r="P13" s="785"/>
      <c r="Q13" s="1893"/>
      <c r="R13" s="1892"/>
      <c r="S13" s="1892"/>
      <c r="T13" s="1893"/>
    </row>
    <row r="14" spans="1:41" x14ac:dyDescent="0.25">
      <c r="A14" s="1887" t="s">
        <v>2620</v>
      </c>
      <c r="B14" s="1887"/>
      <c r="C14" s="1887"/>
      <c r="D14" s="1887"/>
      <c r="E14" s="1887"/>
      <c r="F14" s="1887"/>
      <c r="G14" s="1911"/>
      <c r="H14" s="1911"/>
      <c r="I14" s="1891">
        <f>+(C12*0.7*0.18)+(C13*0.3*0.18)</f>
        <v>0</v>
      </c>
      <c r="J14" s="1891"/>
      <c r="K14" s="1891"/>
      <c r="O14" s="786"/>
      <c r="P14" s="1893"/>
      <c r="Q14" s="1893"/>
      <c r="R14" s="1893"/>
      <c r="S14" s="1892"/>
      <c r="T14" s="1892"/>
      <c r="U14" s="1893"/>
    </row>
    <row r="15" spans="1:41" x14ac:dyDescent="0.25">
      <c r="A15" s="1887" t="s">
        <v>2621</v>
      </c>
      <c r="B15" s="1887"/>
      <c r="C15" s="1887"/>
      <c r="D15" s="1887"/>
      <c r="E15" s="1887"/>
      <c r="F15" s="1887"/>
      <c r="G15" s="1887"/>
      <c r="H15" s="1887"/>
      <c r="I15" s="1891">
        <v>0</v>
      </c>
      <c r="J15" s="1891"/>
      <c r="K15" s="1891"/>
      <c r="O15" s="786"/>
      <c r="P15" s="785"/>
      <c r="Q15" s="785"/>
      <c r="R15" s="1893"/>
      <c r="S15" s="1892"/>
      <c r="T15" s="1892"/>
      <c r="U15" s="1893"/>
    </row>
    <row r="16" spans="1:41" x14ac:dyDescent="0.25">
      <c r="A16" s="1887" t="s">
        <v>2622</v>
      </c>
      <c r="B16" s="1887"/>
      <c r="C16" s="1887"/>
      <c r="D16" s="1887"/>
      <c r="E16" s="1887"/>
      <c r="F16" s="1887"/>
      <c r="G16" s="1887"/>
      <c r="H16" s="1887"/>
      <c r="I16" s="1891">
        <f>+(C12*0.7*1)+(C13*0.3*0.5)</f>
        <v>0</v>
      </c>
      <c r="J16" s="1891"/>
      <c r="K16" s="1891"/>
      <c r="O16" s="786"/>
      <c r="P16" s="786"/>
      <c r="Q16" s="787"/>
      <c r="R16" s="788"/>
      <c r="S16" s="787"/>
      <c r="T16" s="789"/>
    </row>
    <row r="17" spans="1:20" x14ac:dyDescent="0.25">
      <c r="A17" s="1886" t="s">
        <v>2714</v>
      </c>
      <c r="B17" s="1887"/>
      <c r="C17" s="1887"/>
      <c r="D17" s="1887"/>
      <c r="E17" s="1887"/>
      <c r="F17" s="1887"/>
      <c r="G17" s="1887"/>
      <c r="H17" s="1887"/>
      <c r="I17" s="1888">
        <v>0</v>
      </c>
      <c r="J17" s="1889"/>
      <c r="K17" s="1890"/>
      <c r="O17" s="786"/>
      <c r="P17" s="786"/>
      <c r="Q17" s="787"/>
      <c r="R17" s="788"/>
      <c r="S17" s="787"/>
      <c r="T17" s="789"/>
    </row>
    <row r="18" spans="1:20" x14ac:dyDescent="0.25">
      <c r="A18" s="1887" t="s">
        <v>2623</v>
      </c>
      <c r="B18" s="1887"/>
      <c r="C18" s="1887"/>
      <c r="D18" s="1887"/>
      <c r="E18" s="1887"/>
      <c r="F18" s="1887"/>
      <c r="G18" s="1887"/>
      <c r="H18" s="1887"/>
      <c r="I18" s="1891">
        <f>+(C12*0.7*0.1)+(C13*0.3*0.1)</f>
        <v>0</v>
      </c>
      <c r="J18" s="1891"/>
      <c r="K18" s="1891"/>
      <c r="O18" s="786"/>
      <c r="P18" s="786"/>
      <c r="Q18" s="787"/>
      <c r="R18" s="788"/>
      <c r="S18" s="787"/>
      <c r="T18" s="789"/>
    </row>
    <row r="19" spans="1:20" x14ac:dyDescent="0.25">
      <c r="A19" s="1887" t="s">
        <v>2624</v>
      </c>
      <c r="B19" s="1887"/>
      <c r="C19" s="1887"/>
      <c r="D19" s="1887"/>
      <c r="E19" s="1887"/>
      <c r="F19" s="1887"/>
      <c r="G19" s="1887"/>
      <c r="H19" s="1887"/>
      <c r="I19" s="1891">
        <v>0</v>
      </c>
      <c r="J19" s="1891"/>
      <c r="K19" s="1891"/>
      <c r="O19" s="786"/>
      <c r="P19" s="786"/>
      <c r="Q19" s="787"/>
      <c r="R19" s="788"/>
      <c r="S19" s="787"/>
      <c r="T19" s="789"/>
    </row>
    <row r="20" spans="1:20" x14ac:dyDescent="0.25">
      <c r="A20" s="1887" t="s">
        <v>2625</v>
      </c>
      <c r="B20" s="1887"/>
      <c r="C20" s="1887"/>
      <c r="D20" s="1887"/>
      <c r="E20" s="1887"/>
      <c r="F20" s="1887"/>
      <c r="G20" s="1887"/>
      <c r="H20" s="1887"/>
      <c r="I20" s="1891">
        <f>+(C12*0.7*0.25)+(C13*0.25*0.3)</f>
        <v>0</v>
      </c>
      <c r="J20" s="1891"/>
      <c r="K20" s="1891"/>
      <c r="O20" s="786"/>
      <c r="P20" s="786"/>
      <c r="Q20" s="787"/>
      <c r="R20" s="788"/>
      <c r="S20" s="787"/>
      <c r="T20" s="789"/>
    </row>
    <row r="21" spans="1:20" x14ac:dyDescent="0.25">
      <c r="A21" s="1887" t="s">
        <v>2626</v>
      </c>
      <c r="B21" s="1887"/>
      <c r="C21" s="1887"/>
      <c r="D21" s="1887"/>
      <c r="E21" s="1887"/>
      <c r="F21" s="1887"/>
      <c r="G21" s="1887"/>
      <c r="H21" s="1887"/>
      <c r="I21" s="1891">
        <f>+I16-I22</f>
        <v>0</v>
      </c>
      <c r="J21" s="1903"/>
      <c r="K21" s="1903"/>
      <c r="O21" s="786"/>
      <c r="P21" s="786"/>
      <c r="Q21" s="787"/>
      <c r="R21" s="788"/>
      <c r="S21" s="787"/>
      <c r="T21" s="789"/>
    </row>
    <row r="22" spans="1:20" x14ac:dyDescent="0.25">
      <c r="A22" s="1887" t="s">
        <v>2629</v>
      </c>
      <c r="B22" s="1887"/>
      <c r="C22" s="1887"/>
      <c r="D22" s="1887"/>
      <c r="E22" s="1887"/>
      <c r="F22" s="1887"/>
      <c r="G22" s="1887"/>
      <c r="H22" s="1887"/>
      <c r="I22" s="1891">
        <f>+I14+I15+I18+I20</f>
        <v>0</v>
      </c>
      <c r="J22" s="1903"/>
      <c r="K22" s="1903"/>
    </row>
  </sheetData>
  <mergeCells count="42">
    <mergeCell ref="A10:B10"/>
    <mergeCell ref="A11:B11"/>
    <mergeCell ref="A18:H18"/>
    <mergeCell ref="I18:K18"/>
    <mergeCell ref="A19:H19"/>
    <mergeCell ref="I19:K19"/>
    <mergeCell ref="A13:B13"/>
    <mergeCell ref="I11:K11"/>
    <mergeCell ref="D12:H12"/>
    <mergeCell ref="D13:H13"/>
    <mergeCell ref="A14:H14"/>
    <mergeCell ref="I14:K14"/>
    <mergeCell ref="D11:H11"/>
    <mergeCell ref="A15:H15"/>
    <mergeCell ref="I15:K15"/>
    <mergeCell ref="A12:B12"/>
    <mergeCell ref="A22:H22"/>
    <mergeCell ref="I22:K22"/>
    <mergeCell ref="A20:H20"/>
    <mergeCell ref="I20:K20"/>
    <mergeCell ref="A21:H21"/>
    <mergeCell ref="I21:K21"/>
    <mergeCell ref="A1:P2"/>
    <mergeCell ref="Q1:AB2"/>
    <mergeCell ref="AC1:AO2"/>
    <mergeCell ref="B4:F4"/>
    <mergeCell ref="A3:A4"/>
    <mergeCell ref="G3:G4"/>
    <mergeCell ref="U14:U15"/>
    <mergeCell ref="O12:P12"/>
    <mergeCell ref="Q12:Q13"/>
    <mergeCell ref="R12:R13"/>
    <mergeCell ref="S12:S13"/>
    <mergeCell ref="T12:T13"/>
    <mergeCell ref="P14:Q14"/>
    <mergeCell ref="R14:R15"/>
    <mergeCell ref="S14:S15"/>
    <mergeCell ref="A17:H17"/>
    <mergeCell ref="I17:K17"/>
    <mergeCell ref="A16:H16"/>
    <mergeCell ref="I16:K16"/>
    <mergeCell ref="T14:T15"/>
  </mergeCells>
  <printOptions horizontalCentered="1" verticalCentered="1"/>
  <pageMargins left="0.55118110236220474" right="0.55118110236220474" top="0.78740157480314965" bottom="0.78740157480314965" header="0" footer="0"/>
  <pageSetup paperSize="9" scale="96" fitToWidth="3" orientation="landscape" r:id="rId1"/>
  <colBreaks count="3" manualBreakCount="3">
    <brk id="16" max="1048575" man="1"/>
    <brk id="23" max="21" man="1"/>
    <brk id="38" max="21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8"/>
  <sheetViews>
    <sheetView topLeftCell="A16" zoomScale="80" zoomScaleNormal="80" workbookViewId="0">
      <selection activeCell="N8" sqref="N8:N103"/>
    </sheetView>
  </sheetViews>
  <sheetFormatPr baseColWidth="10" defaultRowHeight="15" x14ac:dyDescent="0.25"/>
  <cols>
    <col min="1" max="1" width="23.5703125" style="404" customWidth="1"/>
    <col min="2" max="2" width="22" style="404" customWidth="1"/>
    <col min="3" max="14" width="11.42578125" style="404"/>
    <col min="15" max="15" width="13.5703125" style="404" customWidth="1"/>
    <col min="16" max="16" width="13.28515625" style="404" customWidth="1"/>
    <col min="17" max="16384" width="11.42578125" style="404"/>
  </cols>
  <sheetData>
    <row r="1" spans="1:25" ht="15" customHeight="1" x14ac:dyDescent="0.25">
      <c r="A1" s="1924" t="s">
        <v>2277</v>
      </c>
      <c r="B1" s="1924"/>
      <c r="C1" s="1924"/>
      <c r="D1" s="1924"/>
      <c r="E1" s="1924"/>
      <c r="F1" s="1924"/>
      <c r="G1" s="1924"/>
      <c r="H1" s="1924"/>
      <c r="I1" s="1924"/>
      <c r="J1" s="1924"/>
      <c r="K1" s="1924"/>
      <c r="L1" s="1924"/>
      <c r="M1" s="1924"/>
      <c r="N1" s="1924"/>
      <c r="O1" s="1924"/>
      <c r="P1" s="1924"/>
      <c r="Q1" s="1925"/>
    </row>
    <row r="2" spans="1:25" ht="15" customHeight="1" x14ac:dyDescent="0.25">
      <c r="A2" s="1924"/>
      <c r="B2" s="1924"/>
      <c r="C2" s="1924"/>
      <c r="D2" s="1924"/>
      <c r="E2" s="1924"/>
      <c r="F2" s="1924"/>
      <c r="G2" s="1924"/>
      <c r="H2" s="1924"/>
      <c r="I2" s="1924"/>
      <c r="J2" s="1924"/>
      <c r="K2" s="1924"/>
      <c r="L2" s="1924"/>
      <c r="M2" s="1924"/>
      <c r="N2" s="1924"/>
      <c r="O2" s="1924"/>
      <c r="P2" s="1924"/>
      <c r="Q2" s="1925"/>
      <c r="X2" s="1926" t="s">
        <v>2278</v>
      </c>
      <c r="Y2" s="1926"/>
    </row>
    <row r="3" spans="1:25" ht="15" customHeight="1" x14ac:dyDescent="0.25">
      <c r="A3" s="1924" t="s">
        <v>2279</v>
      </c>
      <c r="B3" s="1924"/>
      <c r="C3" s="1924"/>
      <c r="D3" s="1924"/>
      <c r="E3" s="1924"/>
      <c r="F3" s="1924"/>
      <c r="G3" s="1924"/>
      <c r="H3" s="1924"/>
      <c r="I3" s="1924"/>
      <c r="J3" s="1924"/>
      <c r="K3" s="1924"/>
      <c r="L3" s="1924"/>
      <c r="M3" s="1924"/>
      <c r="N3" s="1924"/>
      <c r="O3" s="1924"/>
      <c r="P3" s="1924"/>
      <c r="Q3" s="1925"/>
      <c r="X3" s="405" t="s">
        <v>2138</v>
      </c>
      <c r="Y3" s="406" t="s">
        <v>2280</v>
      </c>
    </row>
    <row r="4" spans="1:25" ht="15" customHeight="1" x14ac:dyDescent="0.25">
      <c r="A4" s="1927"/>
      <c r="B4" s="1927"/>
      <c r="C4" s="1927"/>
      <c r="D4" s="1927"/>
      <c r="E4" s="1927"/>
      <c r="F4" s="1927"/>
      <c r="G4" s="1927"/>
      <c r="H4" s="1927"/>
      <c r="I4" s="1927"/>
      <c r="J4" s="1927"/>
      <c r="K4" s="1927"/>
      <c r="L4" s="1927"/>
      <c r="M4" s="1927"/>
      <c r="N4" s="1927"/>
      <c r="O4" s="1927"/>
      <c r="P4" s="1927"/>
      <c r="Q4" s="1928"/>
      <c r="X4" s="407">
        <v>6</v>
      </c>
      <c r="Y4" s="408">
        <v>0.6</v>
      </c>
    </row>
    <row r="5" spans="1:25" ht="15" customHeight="1" x14ac:dyDescent="0.25">
      <c r="A5" s="1915" t="s">
        <v>2281</v>
      </c>
      <c r="B5" s="1929" t="s">
        <v>2282</v>
      </c>
      <c r="C5" s="1931" t="s">
        <v>2283</v>
      </c>
      <c r="D5" s="1931" t="s">
        <v>2284</v>
      </c>
      <c r="E5" s="1931" t="s">
        <v>2285</v>
      </c>
      <c r="F5" s="1932" t="s">
        <v>2286</v>
      </c>
      <c r="G5" s="1932"/>
      <c r="H5" s="1932"/>
      <c r="I5" s="1932"/>
      <c r="J5" s="1932" t="s">
        <v>2287</v>
      </c>
      <c r="K5" s="1932"/>
      <c r="L5" s="1932"/>
      <c r="M5" s="1932"/>
      <c r="N5" s="1935" t="s">
        <v>2288</v>
      </c>
      <c r="O5" s="1936" t="s">
        <v>2289</v>
      </c>
      <c r="P5" s="1933" t="s">
        <v>2290</v>
      </c>
      <c r="Q5" s="1931" t="s">
        <v>2291</v>
      </c>
      <c r="X5" s="407">
        <v>10</v>
      </c>
      <c r="Y5" s="408">
        <v>0.7</v>
      </c>
    </row>
    <row r="6" spans="1:25" x14ac:dyDescent="0.25">
      <c r="A6" s="1915"/>
      <c r="B6" s="1930"/>
      <c r="C6" s="1921"/>
      <c r="D6" s="1921"/>
      <c r="E6" s="1921"/>
      <c r="F6" s="1921" t="s">
        <v>2292</v>
      </c>
      <c r="G6" s="1921"/>
      <c r="H6" s="1921" t="s">
        <v>2293</v>
      </c>
      <c r="I6" s="1921" t="s">
        <v>2294</v>
      </c>
      <c r="J6" s="1921" t="s">
        <v>2292</v>
      </c>
      <c r="K6" s="1921"/>
      <c r="L6" s="1921" t="s">
        <v>2293</v>
      </c>
      <c r="M6" s="1922" t="s">
        <v>2294</v>
      </c>
      <c r="N6" s="1922"/>
      <c r="O6" s="1937"/>
      <c r="P6" s="1934"/>
      <c r="Q6" s="1921"/>
      <c r="X6" s="407">
        <v>12</v>
      </c>
      <c r="Y6" s="408">
        <v>0.75</v>
      </c>
    </row>
    <row r="7" spans="1:25" x14ac:dyDescent="0.25">
      <c r="A7" s="1915"/>
      <c r="B7" s="1930"/>
      <c r="C7" s="1921"/>
      <c r="D7" s="1921"/>
      <c r="E7" s="1921"/>
      <c r="F7" s="409" t="s">
        <v>2295</v>
      </c>
      <c r="G7" s="409" t="s">
        <v>2296</v>
      </c>
      <c r="H7" s="1921"/>
      <c r="I7" s="1921"/>
      <c r="J7" s="409" t="s">
        <v>2295</v>
      </c>
      <c r="K7" s="409" t="s">
        <v>2296</v>
      </c>
      <c r="L7" s="1921"/>
      <c r="M7" s="1922"/>
      <c r="N7" s="1922"/>
      <c r="O7" s="1937"/>
      <c r="P7" s="1934"/>
      <c r="Q7" s="1921"/>
      <c r="X7" s="410">
        <v>14</v>
      </c>
      <c r="Y7" s="411">
        <v>0.8</v>
      </c>
    </row>
    <row r="8" spans="1:25" ht="15.75" x14ac:dyDescent="0.25">
      <c r="A8" s="1920" t="s">
        <v>2297</v>
      </c>
      <c r="B8" s="634" t="s">
        <v>2459</v>
      </c>
      <c r="C8" s="412">
        <v>104.8</v>
      </c>
      <c r="D8" s="413">
        <v>10</v>
      </c>
      <c r="E8" s="413">
        <f t="shared" ref="E8:E39" si="0">+LOOKUP(D8,$G$125:$G$138,$I$125:$I$138)</f>
        <v>250</v>
      </c>
      <c r="F8" s="674">
        <v>1802.5</v>
      </c>
      <c r="G8" s="674">
        <v>1800.5</v>
      </c>
      <c r="H8" s="412">
        <f>+F8-G8</f>
        <v>2</v>
      </c>
      <c r="I8" s="412">
        <f>+H8-(E8/1000)</f>
        <v>1.75</v>
      </c>
      <c r="J8" s="414">
        <v>1790</v>
      </c>
      <c r="K8" s="414">
        <v>1788.5</v>
      </c>
      <c r="L8" s="412">
        <f>+J8-K8</f>
        <v>1.5</v>
      </c>
      <c r="M8" s="412">
        <f>+L8-E8/1000</f>
        <v>1.25</v>
      </c>
      <c r="N8" s="679">
        <f>+(G8-K8)/C8</f>
        <v>0.11450381679389313</v>
      </c>
      <c r="O8" s="680">
        <f>+(F8-J8)/C8</f>
        <v>0.11927480916030535</v>
      </c>
      <c r="P8" s="415" t="str">
        <f>IF(((I8+M8)/2)&gt;0.6,"TIPO3","TIPO2")</f>
        <v>TIPO3</v>
      </c>
      <c r="Q8" s="416" t="str">
        <f>IF(N8&gt;15%,"ANCLAR","OK")</f>
        <v>OK</v>
      </c>
      <c r="R8" s="1923" t="s">
        <v>2298</v>
      </c>
      <c r="S8" s="404">
        <v>12</v>
      </c>
      <c r="T8" s="417">
        <f>+C8+C23+C10</f>
        <v>203.05</v>
      </c>
      <c r="X8" s="407">
        <v>16</v>
      </c>
      <c r="Y8" s="408">
        <v>0.8</v>
      </c>
    </row>
    <row r="9" spans="1:25" ht="15.75" x14ac:dyDescent="0.25">
      <c r="A9" s="1920"/>
      <c r="B9" s="634" t="s">
        <v>2460</v>
      </c>
      <c r="C9" s="412">
        <v>92.3</v>
      </c>
      <c r="D9" s="413">
        <v>10</v>
      </c>
      <c r="E9" s="413">
        <f t="shared" si="0"/>
        <v>250</v>
      </c>
      <c r="F9" s="675">
        <v>1790</v>
      </c>
      <c r="G9" s="675">
        <v>1788.4</v>
      </c>
      <c r="H9" s="412">
        <f t="shared" ref="H9:H69" si="1">+F9-G9</f>
        <v>1.5999999999999091</v>
      </c>
      <c r="I9" s="412">
        <f t="shared" ref="I9:I69" si="2">+H9-(E9/1000)</f>
        <v>1.3499999999999091</v>
      </c>
      <c r="J9" s="414">
        <v>1780</v>
      </c>
      <c r="K9" s="414">
        <v>1778.5</v>
      </c>
      <c r="L9" s="412">
        <f t="shared" ref="L9:L69" si="3">+J9-K9</f>
        <v>1.5</v>
      </c>
      <c r="M9" s="412">
        <f t="shared" ref="M9:M72" si="4">+L9-E9/1000</f>
        <v>1.25</v>
      </c>
      <c r="N9" s="679">
        <f t="shared" ref="N9:N72" si="5">+(G9-K9)/C9</f>
        <v>0.10725893824485473</v>
      </c>
      <c r="O9" s="680">
        <f t="shared" ref="O9:O72" si="6">+(F9-J9)/C9</f>
        <v>0.10834236186348863</v>
      </c>
      <c r="P9" s="415" t="str">
        <f t="shared" ref="P9:P72" si="7">IF(((I9+M9)/2)&gt;0.6,"TIPO3","TIPO2")</f>
        <v>TIPO3</v>
      </c>
      <c r="Q9" s="416" t="str">
        <f t="shared" ref="Q9:Q72" si="8">IF(N9&gt;15%,"ANCLAR","OK")</f>
        <v>OK</v>
      </c>
      <c r="R9" s="1923"/>
      <c r="S9" s="404">
        <v>14</v>
      </c>
      <c r="T9" s="417">
        <f>+C9</f>
        <v>92.3</v>
      </c>
      <c r="X9" s="407">
        <v>18</v>
      </c>
      <c r="Y9" s="408">
        <v>0.9</v>
      </c>
    </row>
    <row r="10" spans="1:25" ht="15.75" x14ac:dyDescent="0.25">
      <c r="A10" s="1920"/>
      <c r="B10" s="634" t="s">
        <v>2461</v>
      </c>
      <c r="C10" s="412">
        <v>57.8</v>
      </c>
      <c r="D10" s="413">
        <v>12</v>
      </c>
      <c r="E10" s="413">
        <f t="shared" si="0"/>
        <v>315</v>
      </c>
      <c r="F10" s="675">
        <v>1780</v>
      </c>
      <c r="G10" s="675">
        <v>1778.4</v>
      </c>
      <c r="H10" s="412">
        <f t="shared" si="1"/>
        <v>1.5999999999999091</v>
      </c>
      <c r="I10" s="412">
        <f t="shared" si="2"/>
        <v>1.2849999999999091</v>
      </c>
      <c r="J10" s="414">
        <v>1776</v>
      </c>
      <c r="K10" s="414">
        <v>1774.6</v>
      </c>
      <c r="L10" s="412">
        <f t="shared" si="3"/>
        <v>1.4000000000000909</v>
      </c>
      <c r="M10" s="412">
        <f t="shared" si="4"/>
        <v>1.085000000000091</v>
      </c>
      <c r="N10" s="679">
        <f t="shared" si="5"/>
        <v>6.5743944636681345E-2</v>
      </c>
      <c r="O10" s="680">
        <f t="shared" si="6"/>
        <v>6.9204152249134954E-2</v>
      </c>
      <c r="P10" s="415" t="str">
        <f t="shared" si="7"/>
        <v>TIPO3</v>
      </c>
      <c r="Q10" s="416" t="str">
        <f t="shared" si="8"/>
        <v>OK</v>
      </c>
      <c r="R10" s="1923"/>
      <c r="S10" s="404">
        <v>10</v>
      </c>
      <c r="T10" s="417">
        <f>+C22</f>
        <v>9.58</v>
      </c>
      <c r="X10" s="407">
        <v>20</v>
      </c>
      <c r="Y10" s="408">
        <v>1</v>
      </c>
    </row>
    <row r="11" spans="1:25" ht="15.75" x14ac:dyDescent="0.25">
      <c r="A11" s="418" t="s">
        <v>2299</v>
      </c>
      <c r="B11" s="634" t="s">
        <v>2462</v>
      </c>
      <c r="C11" s="412">
        <v>57.8</v>
      </c>
      <c r="D11" s="413">
        <v>12</v>
      </c>
      <c r="E11" s="413">
        <f t="shared" si="0"/>
        <v>315</v>
      </c>
      <c r="F11" s="675">
        <v>1776</v>
      </c>
      <c r="G11" s="675">
        <v>1774.5</v>
      </c>
      <c r="H11" s="412">
        <f t="shared" si="1"/>
        <v>1.5</v>
      </c>
      <c r="I11" s="412">
        <f t="shared" si="2"/>
        <v>1.1850000000000001</v>
      </c>
      <c r="J11" s="414">
        <v>1771.15</v>
      </c>
      <c r="K11" s="414">
        <v>1768.65</v>
      </c>
      <c r="L11" s="412">
        <f t="shared" si="3"/>
        <v>2.5</v>
      </c>
      <c r="M11" s="412">
        <f t="shared" si="4"/>
        <v>2.1850000000000001</v>
      </c>
      <c r="N11" s="679">
        <f t="shared" si="5"/>
        <v>0.10121107266435829</v>
      </c>
      <c r="O11" s="680">
        <f t="shared" si="6"/>
        <v>8.3910034602074551E-2</v>
      </c>
      <c r="P11" s="415" t="str">
        <f t="shared" si="7"/>
        <v>TIPO3</v>
      </c>
      <c r="Q11" s="416" t="str">
        <f t="shared" si="8"/>
        <v>OK</v>
      </c>
      <c r="R11" s="419"/>
      <c r="X11" s="407">
        <v>24</v>
      </c>
      <c r="Y11" s="408">
        <v>1.1000000000000001</v>
      </c>
    </row>
    <row r="12" spans="1:25" ht="15.75" x14ac:dyDescent="0.25">
      <c r="A12" s="418" t="s">
        <v>2300</v>
      </c>
      <c r="B12" s="634" t="s">
        <v>2463</v>
      </c>
      <c r="C12" s="412">
        <v>57.9</v>
      </c>
      <c r="D12" s="413">
        <v>24</v>
      </c>
      <c r="E12" s="413">
        <f t="shared" si="0"/>
        <v>625</v>
      </c>
      <c r="F12" s="675">
        <v>1771.15</v>
      </c>
      <c r="G12" s="675">
        <v>1768.6</v>
      </c>
      <c r="H12" s="412">
        <f t="shared" si="1"/>
        <v>2.5500000000001819</v>
      </c>
      <c r="I12" s="412">
        <f t="shared" si="2"/>
        <v>1.9250000000001819</v>
      </c>
      <c r="J12" s="414">
        <v>1766.98</v>
      </c>
      <c r="K12" s="414">
        <v>1765.38</v>
      </c>
      <c r="L12" s="412">
        <f t="shared" si="3"/>
        <v>1.5999999999999091</v>
      </c>
      <c r="M12" s="412">
        <f t="shared" si="4"/>
        <v>0.97499999999990905</v>
      </c>
      <c r="N12" s="679">
        <f t="shared" si="5"/>
        <v>5.5613126079443867E-2</v>
      </c>
      <c r="O12" s="680">
        <f t="shared" si="6"/>
        <v>7.2020725388602297E-2</v>
      </c>
      <c r="P12" s="415" t="str">
        <f t="shared" si="7"/>
        <v>TIPO3</v>
      </c>
      <c r="Q12" s="416" t="str">
        <f t="shared" si="8"/>
        <v>OK</v>
      </c>
      <c r="R12" s="419"/>
      <c r="X12" s="407">
        <v>27</v>
      </c>
      <c r="Y12" s="408">
        <v>1.3</v>
      </c>
    </row>
    <row r="13" spans="1:25" ht="15.75" x14ac:dyDescent="0.25">
      <c r="A13" s="1915" t="s">
        <v>2301</v>
      </c>
      <c r="B13" s="634" t="s">
        <v>2464</v>
      </c>
      <c r="C13" s="412">
        <v>70.63</v>
      </c>
      <c r="D13" s="413">
        <v>24</v>
      </c>
      <c r="E13" s="413">
        <f t="shared" si="0"/>
        <v>625</v>
      </c>
      <c r="F13" s="675">
        <v>1766.98</v>
      </c>
      <c r="G13" s="675">
        <v>1765.35</v>
      </c>
      <c r="H13" s="412">
        <f t="shared" si="1"/>
        <v>1.6300000000001091</v>
      </c>
      <c r="I13" s="412">
        <f t="shared" si="2"/>
        <v>1.0050000000001091</v>
      </c>
      <c r="J13" s="414">
        <v>1761.66</v>
      </c>
      <c r="K13" s="414">
        <v>1759.92</v>
      </c>
      <c r="L13" s="412">
        <f t="shared" si="3"/>
        <v>1.7400000000000091</v>
      </c>
      <c r="M13" s="412">
        <f t="shared" si="4"/>
        <v>1.1150000000000091</v>
      </c>
      <c r="N13" s="679">
        <f t="shared" si="5"/>
        <v>7.6879512954832738E-2</v>
      </c>
      <c r="O13" s="680">
        <f t="shared" si="6"/>
        <v>7.5322101090187416E-2</v>
      </c>
      <c r="P13" s="415" t="str">
        <f t="shared" si="7"/>
        <v>TIPO3</v>
      </c>
      <c r="Q13" s="416" t="str">
        <f t="shared" si="8"/>
        <v>OK</v>
      </c>
      <c r="R13" s="419"/>
      <c r="X13" s="407">
        <v>33</v>
      </c>
      <c r="Y13" s="408">
        <v>1.5</v>
      </c>
    </row>
    <row r="14" spans="1:25" ht="15.75" x14ac:dyDescent="0.25">
      <c r="A14" s="1915"/>
      <c r="B14" s="634" t="s">
        <v>2465</v>
      </c>
      <c r="C14" s="412">
        <v>72.099999999999994</v>
      </c>
      <c r="D14" s="413">
        <v>24</v>
      </c>
      <c r="E14" s="413">
        <f t="shared" si="0"/>
        <v>625</v>
      </c>
      <c r="F14" s="675">
        <v>1761.66</v>
      </c>
      <c r="G14" s="675">
        <v>1759.74</v>
      </c>
      <c r="H14" s="412">
        <f t="shared" si="1"/>
        <v>1.9200000000000728</v>
      </c>
      <c r="I14" s="412">
        <f t="shared" si="2"/>
        <v>1.2950000000000728</v>
      </c>
      <c r="J14" s="414">
        <v>1755.95</v>
      </c>
      <c r="K14" s="414">
        <v>1754.35</v>
      </c>
      <c r="L14" s="412">
        <f t="shared" si="3"/>
        <v>1.6000000000001364</v>
      </c>
      <c r="M14" s="412">
        <f t="shared" si="4"/>
        <v>0.97500000000013642</v>
      </c>
      <c r="N14" s="679">
        <f t="shared" si="5"/>
        <v>7.4757281553399446E-2</v>
      </c>
      <c r="O14" s="680">
        <f t="shared" si="6"/>
        <v>7.9195561719834079E-2</v>
      </c>
      <c r="P14" s="415" t="str">
        <f t="shared" si="7"/>
        <v>TIPO3</v>
      </c>
      <c r="Q14" s="416" t="str">
        <f t="shared" si="8"/>
        <v>OK</v>
      </c>
      <c r="R14" s="419"/>
      <c r="X14" s="407">
        <v>39</v>
      </c>
      <c r="Y14" s="408">
        <v>1.7</v>
      </c>
    </row>
    <row r="15" spans="1:25" ht="15.75" x14ac:dyDescent="0.25">
      <c r="A15" s="1915" t="s">
        <v>2302</v>
      </c>
      <c r="B15" s="635" t="s">
        <v>2466</v>
      </c>
      <c r="C15" s="412">
        <v>58.79</v>
      </c>
      <c r="D15" s="413">
        <v>24</v>
      </c>
      <c r="E15" s="413">
        <f t="shared" si="0"/>
        <v>625</v>
      </c>
      <c r="F15" s="675">
        <v>1755.95</v>
      </c>
      <c r="G15" s="675">
        <v>1754.3</v>
      </c>
      <c r="H15" s="412">
        <f t="shared" si="1"/>
        <v>1.6500000000000909</v>
      </c>
      <c r="I15" s="412">
        <f t="shared" si="2"/>
        <v>1.0250000000000909</v>
      </c>
      <c r="J15" s="414">
        <v>1753</v>
      </c>
      <c r="K15" s="414">
        <v>1750.7</v>
      </c>
      <c r="L15" s="412">
        <f t="shared" si="3"/>
        <v>2.2999999999999545</v>
      </c>
      <c r="M15" s="412">
        <f t="shared" si="4"/>
        <v>1.6749999999999545</v>
      </c>
      <c r="N15" s="679">
        <f t="shared" si="5"/>
        <v>6.1234903895218733E-2</v>
      </c>
      <c r="O15" s="680">
        <f t="shared" si="6"/>
        <v>5.0178601803028501E-2</v>
      </c>
      <c r="P15" s="415" t="str">
        <f t="shared" si="7"/>
        <v>TIPO3</v>
      </c>
      <c r="Q15" s="416" t="str">
        <f t="shared" si="8"/>
        <v>OK</v>
      </c>
      <c r="R15" s="419"/>
      <c r="X15" s="407">
        <v>42</v>
      </c>
      <c r="Y15" s="408">
        <v>1.9</v>
      </c>
    </row>
    <row r="16" spans="1:25" ht="15.75" x14ac:dyDescent="0.25">
      <c r="A16" s="1915"/>
      <c r="B16" s="636" t="s">
        <v>2467</v>
      </c>
      <c r="C16" s="412">
        <v>73.790000000000006</v>
      </c>
      <c r="D16" s="413">
        <v>12</v>
      </c>
      <c r="E16" s="413">
        <f t="shared" si="0"/>
        <v>315</v>
      </c>
      <c r="F16" s="675">
        <v>1753</v>
      </c>
      <c r="G16" s="675">
        <v>1751.8</v>
      </c>
      <c r="H16" s="412">
        <f t="shared" si="1"/>
        <v>1.2000000000000455</v>
      </c>
      <c r="I16" s="412">
        <f t="shared" si="2"/>
        <v>0.88500000000004553</v>
      </c>
      <c r="J16" s="414">
        <v>1748.74</v>
      </c>
      <c r="K16" s="414">
        <v>1746.99</v>
      </c>
      <c r="L16" s="412">
        <f t="shared" si="3"/>
        <v>1.75</v>
      </c>
      <c r="M16" s="412">
        <f t="shared" si="4"/>
        <v>1.4350000000000001</v>
      </c>
      <c r="N16" s="679">
        <f t="shared" si="5"/>
        <v>6.518498441523167E-2</v>
      </c>
      <c r="O16" s="680">
        <f t="shared" si="6"/>
        <v>5.7731399918688038E-2</v>
      </c>
      <c r="P16" s="415" t="str">
        <f t="shared" si="7"/>
        <v>TIPO3</v>
      </c>
      <c r="Q16" s="416" t="str">
        <f t="shared" si="8"/>
        <v>OK</v>
      </c>
      <c r="R16" s="419"/>
    </row>
    <row r="17" spans="1:18" ht="15.75" x14ac:dyDescent="0.25">
      <c r="A17" s="420" t="s">
        <v>2303</v>
      </c>
      <c r="B17" s="637" t="s">
        <v>2468</v>
      </c>
      <c r="C17" s="412">
        <v>70.680000000000007</v>
      </c>
      <c r="D17" s="413">
        <v>24</v>
      </c>
      <c r="E17" s="413">
        <f t="shared" si="0"/>
        <v>625</v>
      </c>
      <c r="F17" s="674">
        <v>1748.74</v>
      </c>
      <c r="G17" s="674">
        <v>1746.99</v>
      </c>
      <c r="H17" s="412">
        <f t="shared" si="1"/>
        <v>1.75</v>
      </c>
      <c r="I17" s="412">
        <f t="shared" si="2"/>
        <v>1.125</v>
      </c>
      <c r="J17" s="414">
        <v>1745.21</v>
      </c>
      <c r="K17" s="414">
        <v>1743.82</v>
      </c>
      <c r="L17" s="412">
        <f t="shared" si="3"/>
        <v>1.3900000000001</v>
      </c>
      <c r="M17" s="412">
        <f t="shared" si="4"/>
        <v>0.76500000000010004</v>
      </c>
      <c r="N17" s="679">
        <f t="shared" si="5"/>
        <v>4.4850028296548848E-2</v>
      </c>
      <c r="O17" s="680">
        <f t="shared" si="6"/>
        <v>4.9943406904357279E-2</v>
      </c>
      <c r="P17" s="415" t="str">
        <f t="shared" si="7"/>
        <v>TIPO3</v>
      </c>
      <c r="Q17" s="416" t="str">
        <f t="shared" si="8"/>
        <v>OK</v>
      </c>
      <c r="R17" s="419"/>
    </row>
    <row r="18" spans="1:18" ht="15.75" x14ac:dyDescent="0.25">
      <c r="A18" s="420" t="s">
        <v>2304</v>
      </c>
      <c r="B18" s="637" t="s">
        <v>2469</v>
      </c>
      <c r="C18" s="412">
        <v>78.8</v>
      </c>
      <c r="D18" s="413">
        <v>24</v>
      </c>
      <c r="E18" s="413">
        <f t="shared" si="0"/>
        <v>625</v>
      </c>
      <c r="F18" s="674">
        <v>1745.21</v>
      </c>
      <c r="G18" s="674">
        <v>1743.75</v>
      </c>
      <c r="H18" s="412">
        <f t="shared" si="1"/>
        <v>1.4600000000000364</v>
      </c>
      <c r="I18" s="412">
        <f t="shared" si="2"/>
        <v>0.83500000000003638</v>
      </c>
      <c r="J18" s="414">
        <v>1741.86</v>
      </c>
      <c r="K18" s="414">
        <v>1740.09</v>
      </c>
      <c r="L18" s="412">
        <f t="shared" si="3"/>
        <v>1.7699999999999818</v>
      </c>
      <c r="M18" s="412">
        <f t="shared" si="4"/>
        <v>1.1449999999999818</v>
      </c>
      <c r="N18" s="679">
        <f t="shared" si="5"/>
        <v>4.6446700507615256E-2</v>
      </c>
      <c r="O18" s="680">
        <f t="shared" si="6"/>
        <v>4.251269035533168E-2</v>
      </c>
      <c r="P18" s="415" t="str">
        <f t="shared" si="7"/>
        <v>TIPO3</v>
      </c>
      <c r="Q18" s="416" t="str">
        <f t="shared" si="8"/>
        <v>OK</v>
      </c>
      <c r="R18" s="419"/>
    </row>
    <row r="19" spans="1:18" ht="15.75" x14ac:dyDescent="0.25">
      <c r="A19" s="420" t="s">
        <v>2305</v>
      </c>
      <c r="B19" s="636" t="s">
        <v>2470</v>
      </c>
      <c r="C19" s="412">
        <v>32.4</v>
      </c>
      <c r="D19" s="413">
        <v>24</v>
      </c>
      <c r="E19" s="413">
        <f t="shared" si="0"/>
        <v>625</v>
      </c>
      <c r="F19" s="675">
        <v>1741.86</v>
      </c>
      <c r="G19" s="675">
        <v>1740.09</v>
      </c>
      <c r="H19" s="412">
        <f t="shared" si="1"/>
        <v>1.7699999999999818</v>
      </c>
      <c r="I19" s="412">
        <f t="shared" si="2"/>
        <v>1.1449999999999818</v>
      </c>
      <c r="J19" s="414">
        <v>1741</v>
      </c>
      <c r="K19" s="414">
        <v>1738</v>
      </c>
      <c r="L19" s="412">
        <f t="shared" si="3"/>
        <v>3</v>
      </c>
      <c r="M19" s="412">
        <f t="shared" si="4"/>
        <v>2.375</v>
      </c>
      <c r="N19" s="679">
        <f t="shared" si="5"/>
        <v>6.4506172839503648E-2</v>
      </c>
      <c r="O19" s="680">
        <f t="shared" si="6"/>
        <v>2.6543209876540123E-2</v>
      </c>
      <c r="P19" s="415" t="str">
        <f t="shared" si="7"/>
        <v>TIPO3</v>
      </c>
      <c r="Q19" s="416" t="str">
        <f t="shared" si="8"/>
        <v>OK</v>
      </c>
      <c r="R19" s="419"/>
    </row>
    <row r="20" spans="1:18" ht="15.75" x14ac:dyDescent="0.25">
      <c r="A20" s="420" t="s">
        <v>2306</v>
      </c>
      <c r="B20" s="638" t="s">
        <v>2471</v>
      </c>
      <c r="C20" s="412">
        <v>52.88</v>
      </c>
      <c r="D20" s="413">
        <v>36</v>
      </c>
      <c r="E20" s="413">
        <f t="shared" si="0"/>
        <v>950</v>
      </c>
      <c r="F20" s="675">
        <v>1741</v>
      </c>
      <c r="G20" s="675">
        <v>1738</v>
      </c>
      <c r="H20" s="412">
        <f t="shared" si="1"/>
        <v>3</v>
      </c>
      <c r="I20" s="412">
        <f t="shared" si="2"/>
        <v>2.0499999999999998</v>
      </c>
      <c r="J20" s="414">
        <v>1733.93</v>
      </c>
      <c r="K20" s="414">
        <v>1732.43</v>
      </c>
      <c r="L20" s="412">
        <f t="shared" si="3"/>
        <v>1.5</v>
      </c>
      <c r="M20" s="412">
        <f t="shared" si="4"/>
        <v>0.55000000000000004</v>
      </c>
      <c r="N20" s="679">
        <f t="shared" si="5"/>
        <v>0.10533282904689743</v>
      </c>
      <c r="O20" s="680">
        <f t="shared" si="6"/>
        <v>0.13369894099848592</v>
      </c>
      <c r="P20" s="415" t="str">
        <f t="shared" si="7"/>
        <v>TIPO3</v>
      </c>
      <c r="Q20" s="416" t="str">
        <f t="shared" si="8"/>
        <v>OK</v>
      </c>
      <c r="R20" s="419"/>
    </row>
    <row r="21" spans="1:18" ht="15.75" x14ac:dyDescent="0.25">
      <c r="A21" s="1915" t="s">
        <v>2307</v>
      </c>
      <c r="B21" s="638" t="s">
        <v>2472</v>
      </c>
      <c r="C21" s="412">
        <v>34.79</v>
      </c>
      <c r="D21" s="413">
        <v>10</v>
      </c>
      <c r="E21" s="413">
        <f t="shared" si="0"/>
        <v>250</v>
      </c>
      <c r="F21" s="675">
        <v>1733.93</v>
      </c>
      <c r="G21" s="675">
        <v>1732.93</v>
      </c>
      <c r="H21" s="412">
        <f t="shared" si="1"/>
        <v>1</v>
      </c>
      <c r="I21" s="412">
        <f t="shared" si="2"/>
        <v>0.75</v>
      </c>
      <c r="J21" s="421">
        <v>1731.79</v>
      </c>
      <c r="K21" s="421">
        <v>1728.54</v>
      </c>
      <c r="L21" s="412">
        <f t="shared" si="3"/>
        <v>3.25</v>
      </c>
      <c r="M21" s="412">
        <f t="shared" si="4"/>
        <v>3</v>
      </c>
      <c r="N21" s="679">
        <f t="shared" si="5"/>
        <v>0.12618568554182524</v>
      </c>
      <c r="O21" s="680">
        <f t="shared" si="6"/>
        <v>6.1511928715150911E-2</v>
      </c>
      <c r="P21" s="415" t="str">
        <f t="shared" si="7"/>
        <v>TIPO3</v>
      </c>
      <c r="Q21" s="416" t="str">
        <f t="shared" si="8"/>
        <v>OK</v>
      </c>
      <c r="R21" s="419"/>
    </row>
    <row r="22" spans="1:18" ht="15.75" x14ac:dyDescent="0.25">
      <c r="A22" s="1915"/>
      <c r="B22" s="638" t="s">
        <v>2473</v>
      </c>
      <c r="C22" s="412">
        <v>9.58</v>
      </c>
      <c r="D22" s="413">
        <v>36</v>
      </c>
      <c r="E22" s="413">
        <f t="shared" si="0"/>
        <v>950</v>
      </c>
      <c r="F22" s="675">
        <v>1731.79</v>
      </c>
      <c r="G22" s="675">
        <v>1728.37</v>
      </c>
      <c r="H22" s="412">
        <f t="shared" si="1"/>
        <v>3.4200000000000728</v>
      </c>
      <c r="I22" s="412">
        <f t="shared" si="2"/>
        <v>2.4700000000000726</v>
      </c>
      <c r="J22" s="421">
        <v>1730.84</v>
      </c>
      <c r="K22" s="421">
        <v>1728.03</v>
      </c>
      <c r="L22" s="412">
        <f t="shared" si="3"/>
        <v>2.8099999999999454</v>
      </c>
      <c r="M22" s="412">
        <f t="shared" si="4"/>
        <v>1.8599999999999455</v>
      </c>
      <c r="N22" s="679">
        <f t="shared" si="5"/>
        <v>3.54906054279664E-2</v>
      </c>
      <c r="O22" s="680">
        <f t="shared" si="6"/>
        <v>9.9164926931111216E-2</v>
      </c>
      <c r="P22" s="415" t="str">
        <f t="shared" si="7"/>
        <v>TIPO3</v>
      </c>
      <c r="Q22" s="416" t="str">
        <f t="shared" si="8"/>
        <v>OK</v>
      </c>
      <c r="R22" s="419"/>
    </row>
    <row r="23" spans="1:18" ht="15.75" x14ac:dyDescent="0.25">
      <c r="A23" s="1915" t="s">
        <v>2308</v>
      </c>
      <c r="B23" s="638" t="s">
        <v>2474</v>
      </c>
      <c r="C23" s="412">
        <v>40.450000000000003</v>
      </c>
      <c r="D23" s="413">
        <v>36</v>
      </c>
      <c r="E23" s="413">
        <f t="shared" si="0"/>
        <v>950</v>
      </c>
      <c r="F23" s="675">
        <v>1730.84</v>
      </c>
      <c r="G23" s="675">
        <v>1727.87</v>
      </c>
      <c r="H23" s="412">
        <f t="shared" si="1"/>
        <v>2.9700000000000273</v>
      </c>
      <c r="I23" s="412">
        <f t="shared" si="2"/>
        <v>2.0200000000000271</v>
      </c>
      <c r="J23" s="421">
        <v>1728.07</v>
      </c>
      <c r="K23" s="421">
        <v>1725.93</v>
      </c>
      <c r="L23" s="412">
        <f t="shared" si="3"/>
        <v>2.1399999999998727</v>
      </c>
      <c r="M23" s="412">
        <f t="shared" si="4"/>
        <v>1.1899999999998727</v>
      </c>
      <c r="N23" s="679">
        <f t="shared" si="5"/>
        <v>4.7960444993815257E-2</v>
      </c>
      <c r="O23" s="680">
        <f t="shared" si="6"/>
        <v>6.8479604449937739E-2</v>
      </c>
      <c r="P23" s="415" t="str">
        <f t="shared" si="7"/>
        <v>TIPO3</v>
      </c>
      <c r="Q23" s="416" t="str">
        <f t="shared" si="8"/>
        <v>OK</v>
      </c>
      <c r="R23" s="419"/>
    </row>
    <row r="24" spans="1:18" ht="15.75" x14ac:dyDescent="0.25">
      <c r="A24" s="1915"/>
      <c r="B24" s="638" t="s">
        <v>2475</v>
      </c>
      <c r="C24" s="412">
        <v>31.78</v>
      </c>
      <c r="D24" s="413">
        <v>36</v>
      </c>
      <c r="E24" s="413">
        <f t="shared" si="0"/>
        <v>950</v>
      </c>
      <c r="F24" s="675">
        <v>1728.07</v>
      </c>
      <c r="G24" s="675">
        <v>1725.93</v>
      </c>
      <c r="H24" s="412">
        <f t="shared" si="1"/>
        <v>2.1399999999998727</v>
      </c>
      <c r="I24" s="412">
        <f t="shared" si="2"/>
        <v>1.1899999999998727</v>
      </c>
      <c r="J24" s="421">
        <v>1726.54</v>
      </c>
      <c r="K24" s="421">
        <v>1724.11</v>
      </c>
      <c r="L24" s="412">
        <f t="shared" si="3"/>
        <v>2.4300000000000637</v>
      </c>
      <c r="M24" s="412">
        <f t="shared" si="4"/>
        <v>1.4800000000000637</v>
      </c>
      <c r="N24" s="679">
        <f t="shared" si="5"/>
        <v>5.7268722466965502E-2</v>
      </c>
      <c r="O24" s="680">
        <f t="shared" si="6"/>
        <v>4.8143486469476797E-2</v>
      </c>
      <c r="P24" s="415" t="str">
        <f t="shared" si="7"/>
        <v>TIPO3</v>
      </c>
      <c r="Q24" s="416" t="str">
        <f t="shared" si="8"/>
        <v>OK</v>
      </c>
      <c r="R24" s="419"/>
    </row>
    <row r="25" spans="1:18" ht="15.75" x14ac:dyDescent="0.25">
      <c r="A25" s="1915" t="s">
        <v>2309</v>
      </c>
      <c r="B25" s="638" t="s">
        <v>2476</v>
      </c>
      <c r="C25" s="422">
        <v>4.63</v>
      </c>
      <c r="D25" s="413">
        <v>36</v>
      </c>
      <c r="E25" s="413">
        <f t="shared" si="0"/>
        <v>950</v>
      </c>
      <c r="F25" s="675">
        <v>1726.54</v>
      </c>
      <c r="G25" s="675">
        <v>1724</v>
      </c>
      <c r="H25" s="412">
        <f t="shared" si="1"/>
        <v>2.5399999999999636</v>
      </c>
      <c r="I25" s="412">
        <f t="shared" si="2"/>
        <v>1.5899999999999637</v>
      </c>
      <c r="J25" s="423">
        <v>1726.33</v>
      </c>
      <c r="K25" s="423">
        <v>1723.83</v>
      </c>
      <c r="L25" s="412">
        <f t="shared" si="3"/>
        <v>2.5</v>
      </c>
      <c r="M25" s="412">
        <f t="shared" si="4"/>
        <v>1.55</v>
      </c>
      <c r="N25" s="679">
        <f t="shared" si="5"/>
        <v>3.6717062635004918E-2</v>
      </c>
      <c r="O25" s="680">
        <f t="shared" si="6"/>
        <v>4.5356371490288636E-2</v>
      </c>
      <c r="P25" s="415" t="str">
        <f t="shared" si="7"/>
        <v>TIPO3</v>
      </c>
      <c r="Q25" s="416" t="str">
        <f t="shared" si="8"/>
        <v>OK</v>
      </c>
      <c r="R25" s="419"/>
    </row>
    <row r="26" spans="1:18" ht="15.75" x14ac:dyDescent="0.25">
      <c r="A26" s="1915"/>
      <c r="B26" s="639" t="s">
        <v>2477</v>
      </c>
      <c r="C26" s="412">
        <v>71.650000000000006</v>
      </c>
      <c r="D26" s="413">
        <v>30</v>
      </c>
      <c r="E26" s="413">
        <f t="shared" si="0"/>
        <v>786</v>
      </c>
      <c r="F26" s="675">
        <v>1733.35</v>
      </c>
      <c r="G26" s="675">
        <v>1731.7</v>
      </c>
      <c r="H26" s="412">
        <f t="shared" si="1"/>
        <v>1.6499999999998636</v>
      </c>
      <c r="I26" s="412">
        <f t="shared" si="2"/>
        <v>0.86399999999986354</v>
      </c>
      <c r="J26" s="424">
        <v>1730.93</v>
      </c>
      <c r="K26" s="424">
        <v>1729.05</v>
      </c>
      <c r="L26" s="412">
        <f t="shared" si="3"/>
        <v>1.8800000000001091</v>
      </c>
      <c r="M26" s="412">
        <f t="shared" si="4"/>
        <v>1.0940000000001091</v>
      </c>
      <c r="N26" s="679">
        <f t="shared" si="5"/>
        <v>3.6985345429170841E-2</v>
      </c>
      <c r="O26" s="680">
        <f t="shared" si="6"/>
        <v>3.3775296580597976E-2</v>
      </c>
      <c r="P26" s="415" t="str">
        <f t="shared" si="7"/>
        <v>TIPO3</v>
      </c>
      <c r="Q26" s="416" t="str">
        <f t="shared" si="8"/>
        <v>OK</v>
      </c>
      <c r="R26" s="419"/>
    </row>
    <row r="27" spans="1:18" ht="15.75" x14ac:dyDescent="0.25">
      <c r="A27" s="418" t="s">
        <v>2310</v>
      </c>
      <c r="B27" s="640" t="s">
        <v>2478</v>
      </c>
      <c r="C27" s="422">
        <v>32.28</v>
      </c>
      <c r="D27" s="413">
        <v>10</v>
      </c>
      <c r="E27" s="413">
        <f t="shared" si="0"/>
        <v>250</v>
      </c>
      <c r="F27" s="675">
        <v>1730.93</v>
      </c>
      <c r="G27" s="675">
        <v>1729.85</v>
      </c>
      <c r="H27" s="412">
        <f t="shared" si="1"/>
        <v>1.0800000000001546</v>
      </c>
      <c r="I27" s="412">
        <f t="shared" si="2"/>
        <v>0.83000000000015461</v>
      </c>
      <c r="J27" s="425">
        <v>1729.62</v>
      </c>
      <c r="K27" s="426">
        <v>1727.58</v>
      </c>
      <c r="L27" s="412">
        <f t="shared" si="3"/>
        <v>2.0399999999999636</v>
      </c>
      <c r="M27" s="412">
        <f t="shared" si="4"/>
        <v>1.7899999999999636</v>
      </c>
      <c r="N27" s="679">
        <f t="shared" si="5"/>
        <v>7.0322180916975896E-2</v>
      </c>
      <c r="O27" s="680">
        <f t="shared" si="6"/>
        <v>4.0582403965308947E-2</v>
      </c>
      <c r="P27" s="415" t="str">
        <f t="shared" si="7"/>
        <v>TIPO3</v>
      </c>
      <c r="Q27" s="416" t="str">
        <f t="shared" si="8"/>
        <v>OK</v>
      </c>
      <c r="R27" s="419"/>
    </row>
    <row r="28" spans="1:18" ht="15.75" x14ac:dyDescent="0.25">
      <c r="A28" s="1916" t="s">
        <v>2311</v>
      </c>
      <c r="B28" s="640" t="s">
        <v>2479</v>
      </c>
      <c r="C28" s="427">
        <v>42.8</v>
      </c>
      <c r="D28" s="413">
        <v>36</v>
      </c>
      <c r="E28" s="413">
        <f t="shared" si="0"/>
        <v>950</v>
      </c>
      <c r="F28" s="675">
        <v>1729.62</v>
      </c>
      <c r="G28" s="675">
        <v>1727.58</v>
      </c>
      <c r="H28" s="412">
        <f t="shared" si="1"/>
        <v>2.0399999999999636</v>
      </c>
      <c r="I28" s="412">
        <f t="shared" si="2"/>
        <v>1.0899999999999637</v>
      </c>
      <c r="J28" s="428">
        <v>1727.53</v>
      </c>
      <c r="K28" s="428">
        <v>1725.77</v>
      </c>
      <c r="L28" s="412">
        <f t="shared" si="3"/>
        <v>1.7599999999999909</v>
      </c>
      <c r="M28" s="412">
        <f t="shared" si="4"/>
        <v>0.80999999999999095</v>
      </c>
      <c r="N28" s="679">
        <f t="shared" si="5"/>
        <v>4.2289719626166955E-2</v>
      </c>
      <c r="O28" s="680">
        <f t="shared" si="6"/>
        <v>4.8831775700932667E-2</v>
      </c>
      <c r="P28" s="415" t="str">
        <f t="shared" si="7"/>
        <v>TIPO3</v>
      </c>
      <c r="Q28" s="416" t="str">
        <f t="shared" si="8"/>
        <v>OK</v>
      </c>
      <c r="R28" s="709"/>
    </row>
    <row r="29" spans="1:18" ht="15.75" x14ac:dyDescent="0.25">
      <c r="A29" s="1916"/>
      <c r="B29" s="640" t="s">
        <v>2480</v>
      </c>
      <c r="C29" s="427">
        <v>39.57</v>
      </c>
      <c r="D29" s="413">
        <v>42</v>
      </c>
      <c r="E29" s="413">
        <f t="shared" si="0"/>
        <v>1101</v>
      </c>
      <c r="F29" s="675">
        <v>1727.53</v>
      </c>
      <c r="G29" s="675">
        <v>1725.56</v>
      </c>
      <c r="H29" s="412">
        <f t="shared" si="1"/>
        <v>1.9700000000000273</v>
      </c>
      <c r="I29" s="412">
        <f t="shared" si="2"/>
        <v>0.86900000000002731</v>
      </c>
      <c r="J29" s="428">
        <v>1726.33</v>
      </c>
      <c r="K29" s="428">
        <v>1724.05</v>
      </c>
      <c r="L29" s="412">
        <f t="shared" si="3"/>
        <v>2.2799999999999727</v>
      </c>
      <c r="M29" s="412">
        <f t="shared" si="4"/>
        <v>1.1789999999999727</v>
      </c>
      <c r="N29" s="679">
        <f t="shared" si="5"/>
        <v>3.8160222390699793E-2</v>
      </c>
      <c r="O29" s="680">
        <f t="shared" si="6"/>
        <v>3.032600454890183E-2</v>
      </c>
      <c r="P29" s="415" t="str">
        <f t="shared" si="7"/>
        <v>TIPO3</v>
      </c>
      <c r="Q29" s="416" t="str">
        <f t="shared" si="8"/>
        <v>OK</v>
      </c>
      <c r="R29" s="710"/>
    </row>
    <row r="30" spans="1:18" ht="15.75" x14ac:dyDescent="0.25">
      <c r="A30" s="1916"/>
      <c r="B30" s="638" t="s">
        <v>2481</v>
      </c>
      <c r="C30" s="427">
        <v>32.450000000000003</v>
      </c>
      <c r="D30" s="413">
        <v>42</v>
      </c>
      <c r="E30" s="413">
        <f t="shared" si="0"/>
        <v>1101</v>
      </c>
      <c r="F30" s="675">
        <v>1726.33</v>
      </c>
      <c r="G30" s="675">
        <v>1723.83</v>
      </c>
      <c r="H30" s="412">
        <f t="shared" si="1"/>
        <v>2.5</v>
      </c>
      <c r="I30" s="412">
        <f t="shared" si="2"/>
        <v>1.399</v>
      </c>
      <c r="J30" s="429">
        <v>1725.76</v>
      </c>
      <c r="K30" s="429">
        <v>1722.85</v>
      </c>
      <c r="L30" s="412">
        <f t="shared" si="3"/>
        <v>2.9100000000000819</v>
      </c>
      <c r="M30" s="412">
        <f t="shared" si="4"/>
        <v>1.8090000000000819</v>
      </c>
      <c r="N30" s="679">
        <f t="shared" si="5"/>
        <v>3.0200308166410419E-2</v>
      </c>
      <c r="O30" s="680">
        <f t="shared" si="6"/>
        <v>1.7565485362093569E-2</v>
      </c>
      <c r="P30" s="415" t="str">
        <f t="shared" si="7"/>
        <v>TIPO3</v>
      </c>
      <c r="Q30" s="416" t="str">
        <f t="shared" si="8"/>
        <v>OK</v>
      </c>
      <c r="R30" s="710"/>
    </row>
    <row r="31" spans="1:18" ht="15.75" x14ac:dyDescent="0.25">
      <c r="A31" s="1916"/>
      <c r="B31" s="638" t="s">
        <v>2482</v>
      </c>
      <c r="C31" s="427">
        <v>51.12</v>
      </c>
      <c r="D31" s="413">
        <v>42</v>
      </c>
      <c r="E31" s="413">
        <f t="shared" si="0"/>
        <v>1101</v>
      </c>
      <c r="F31" s="676">
        <v>1725.76</v>
      </c>
      <c r="G31" s="676">
        <v>1722.85</v>
      </c>
      <c r="H31" s="412">
        <f t="shared" si="1"/>
        <v>2.9100000000000819</v>
      </c>
      <c r="I31" s="412">
        <f t="shared" si="2"/>
        <v>1.8090000000000819</v>
      </c>
      <c r="J31" s="429">
        <v>1722.6</v>
      </c>
      <c r="K31" s="429">
        <v>1720.1</v>
      </c>
      <c r="L31" s="412">
        <f t="shared" si="3"/>
        <v>2.5</v>
      </c>
      <c r="M31" s="412">
        <f t="shared" si="4"/>
        <v>1.399</v>
      </c>
      <c r="N31" s="679">
        <f t="shared" si="5"/>
        <v>5.3794992175273865E-2</v>
      </c>
      <c r="O31" s="680">
        <f t="shared" si="6"/>
        <v>6.1815336463225394E-2</v>
      </c>
      <c r="P31" s="415" t="str">
        <f t="shared" si="7"/>
        <v>TIPO3</v>
      </c>
      <c r="Q31" s="416" t="str">
        <f t="shared" si="8"/>
        <v>OK</v>
      </c>
      <c r="R31" s="710"/>
    </row>
    <row r="32" spans="1:18" ht="15.75" x14ac:dyDescent="0.25">
      <c r="A32" s="1916"/>
      <c r="B32" s="638" t="s">
        <v>2483</v>
      </c>
      <c r="C32" s="427">
        <v>65.400000000000006</v>
      </c>
      <c r="D32" s="413">
        <v>42</v>
      </c>
      <c r="E32" s="413">
        <f t="shared" si="0"/>
        <v>1101</v>
      </c>
      <c r="F32" s="676">
        <v>1722.6</v>
      </c>
      <c r="G32" s="676">
        <v>1720.1</v>
      </c>
      <c r="H32" s="412">
        <f t="shared" si="1"/>
        <v>2.5</v>
      </c>
      <c r="I32" s="412">
        <f t="shared" si="2"/>
        <v>1.399</v>
      </c>
      <c r="J32" s="428">
        <v>1718.55</v>
      </c>
      <c r="K32" s="428">
        <v>1716.21</v>
      </c>
      <c r="L32" s="412">
        <f t="shared" si="3"/>
        <v>2.3399999999999181</v>
      </c>
      <c r="M32" s="412">
        <f t="shared" si="4"/>
        <v>1.2389999999999182</v>
      </c>
      <c r="N32" s="679">
        <f t="shared" si="5"/>
        <v>5.9480122324157073E-2</v>
      </c>
      <c r="O32" s="680">
        <f t="shared" si="6"/>
        <v>6.1926605504586459E-2</v>
      </c>
      <c r="P32" s="415" t="str">
        <f t="shared" si="7"/>
        <v>TIPO3</v>
      </c>
      <c r="Q32" s="416" t="str">
        <f t="shared" si="8"/>
        <v>OK</v>
      </c>
      <c r="R32" s="710"/>
    </row>
    <row r="33" spans="1:18" ht="15.75" x14ac:dyDescent="0.25">
      <c r="A33" s="1916"/>
      <c r="B33" s="641" t="s">
        <v>2484</v>
      </c>
      <c r="C33" s="427">
        <v>32.299999999999997</v>
      </c>
      <c r="D33" s="413">
        <v>10</v>
      </c>
      <c r="E33" s="413">
        <f t="shared" si="0"/>
        <v>250</v>
      </c>
      <c r="F33" s="676">
        <v>1777.2</v>
      </c>
      <c r="G33" s="676">
        <v>1775.75</v>
      </c>
      <c r="H33" s="412">
        <f t="shared" si="1"/>
        <v>1.4500000000000455</v>
      </c>
      <c r="I33" s="412">
        <f t="shared" si="2"/>
        <v>1.2000000000000455</v>
      </c>
      <c r="J33" s="428">
        <v>1769</v>
      </c>
      <c r="K33" s="428">
        <v>1767.8</v>
      </c>
      <c r="L33" s="412">
        <f t="shared" si="3"/>
        <v>1.2000000000000455</v>
      </c>
      <c r="M33" s="412">
        <f t="shared" si="4"/>
        <v>0.95000000000004547</v>
      </c>
      <c r="N33" s="679">
        <f t="shared" si="5"/>
        <v>0.24613003095975375</v>
      </c>
      <c r="O33" s="680">
        <f t="shared" si="6"/>
        <v>0.25386996904024911</v>
      </c>
      <c r="P33" s="415" t="str">
        <f t="shared" si="7"/>
        <v>TIPO3</v>
      </c>
      <c r="Q33" s="416" t="str">
        <f t="shared" si="8"/>
        <v>ANCLAR</v>
      </c>
      <c r="R33" s="710"/>
    </row>
    <row r="34" spans="1:18" ht="15.75" x14ac:dyDescent="0.25">
      <c r="A34" s="1916"/>
      <c r="B34" s="641" t="s">
        <v>2485</v>
      </c>
      <c r="C34" s="427">
        <v>34.799999999999997</v>
      </c>
      <c r="D34" s="413">
        <v>10</v>
      </c>
      <c r="E34" s="413">
        <f t="shared" si="0"/>
        <v>250</v>
      </c>
      <c r="F34" s="676">
        <v>1769</v>
      </c>
      <c r="G34" s="676">
        <v>1767.75</v>
      </c>
      <c r="H34" s="412">
        <f t="shared" si="1"/>
        <v>1.25</v>
      </c>
      <c r="I34" s="412">
        <f t="shared" si="2"/>
        <v>1</v>
      </c>
      <c r="J34" s="429">
        <v>1758.29</v>
      </c>
      <c r="K34" s="429">
        <v>1756.5</v>
      </c>
      <c r="L34" s="412">
        <f t="shared" si="3"/>
        <v>1.7899999999999636</v>
      </c>
      <c r="M34" s="412">
        <f t="shared" si="4"/>
        <v>1.5399999999999636</v>
      </c>
      <c r="N34" s="679">
        <f t="shared" si="5"/>
        <v>0.32327586206896552</v>
      </c>
      <c r="O34" s="680">
        <f t="shared" si="6"/>
        <v>0.30775862068965626</v>
      </c>
      <c r="P34" s="415" t="str">
        <f t="shared" si="7"/>
        <v>TIPO3</v>
      </c>
      <c r="Q34" s="416" t="str">
        <f t="shared" si="8"/>
        <v>ANCLAR</v>
      </c>
      <c r="R34" s="710"/>
    </row>
    <row r="35" spans="1:18" ht="15.75" x14ac:dyDescent="0.25">
      <c r="A35" s="1916"/>
      <c r="B35" s="641" t="s">
        <v>2486</v>
      </c>
      <c r="C35" s="427">
        <v>30.12</v>
      </c>
      <c r="D35" s="413">
        <v>10</v>
      </c>
      <c r="E35" s="413">
        <f t="shared" si="0"/>
        <v>250</v>
      </c>
      <c r="F35" s="676">
        <v>1758.29</v>
      </c>
      <c r="G35" s="676">
        <v>1756.5</v>
      </c>
      <c r="H35" s="412">
        <f t="shared" si="1"/>
        <v>1.7899999999999636</v>
      </c>
      <c r="I35" s="412">
        <f t="shared" si="2"/>
        <v>1.5399999999999636</v>
      </c>
      <c r="J35" s="429">
        <v>1750.58</v>
      </c>
      <c r="K35" s="429">
        <v>1749.08</v>
      </c>
      <c r="L35" s="412">
        <f t="shared" si="3"/>
        <v>1.5</v>
      </c>
      <c r="M35" s="412">
        <f t="shared" si="4"/>
        <v>1.25</v>
      </c>
      <c r="N35" s="679">
        <f t="shared" si="5"/>
        <v>0.24634794156706749</v>
      </c>
      <c r="O35" s="680">
        <f t="shared" si="6"/>
        <v>0.2559760956175311</v>
      </c>
      <c r="P35" s="415" t="str">
        <f t="shared" si="7"/>
        <v>TIPO3</v>
      </c>
      <c r="Q35" s="416" t="str">
        <f t="shared" si="8"/>
        <v>ANCLAR</v>
      </c>
      <c r="R35" s="710"/>
    </row>
    <row r="36" spans="1:18" ht="15.75" x14ac:dyDescent="0.25">
      <c r="A36" s="1916"/>
      <c r="B36" s="642" t="s">
        <v>2487</v>
      </c>
      <c r="C36" s="427">
        <v>46.32</v>
      </c>
      <c r="D36" s="413">
        <v>10</v>
      </c>
      <c r="E36" s="413">
        <f t="shared" si="0"/>
        <v>250</v>
      </c>
      <c r="F36" s="676">
        <v>1776.75</v>
      </c>
      <c r="G36" s="676">
        <v>1774.83</v>
      </c>
      <c r="H36" s="412">
        <f t="shared" si="1"/>
        <v>1.9200000000000728</v>
      </c>
      <c r="I36" s="412">
        <f t="shared" si="2"/>
        <v>1.6700000000000728</v>
      </c>
      <c r="J36" s="428">
        <v>1766.48</v>
      </c>
      <c r="K36" s="428">
        <v>1765.1</v>
      </c>
      <c r="L36" s="412">
        <f t="shared" si="3"/>
        <v>1.3800000000001091</v>
      </c>
      <c r="M36" s="412">
        <f t="shared" si="4"/>
        <v>1.1300000000001091</v>
      </c>
      <c r="N36" s="679">
        <f t="shared" si="5"/>
        <v>0.21006044905008675</v>
      </c>
      <c r="O36" s="680">
        <f t="shared" si="6"/>
        <v>0.22171848013816886</v>
      </c>
      <c r="P36" s="415" t="str">
        <f t="shared" si="7"/>
        <v>TIPO3</v>
      </c>
      <c r="Q36" s="416" t="str">
        <f t="shared" si="8"/>
        <v>ANCLAR</v>
      </c>
      <c r="R36" s="711"/>
    </row>
    <row r="37" spans="1:18" ht="15.75" x14ac:dyDescent="0.25">
      <c r="A37" s="1917" t="s">
        <v>2312</v>
      </c>
      <c r="B37" s="642" t="s">
        <v>2488</v>
      </c>
      <c r="C37" s="430">
        <v>45.87</v>
      </c>
      <c r="D37" s="431">
        <v>10</v>
      </c>
      <c r="E37" s="413">
        <f t="shared" si="0"/>
        <v>250</v>
      </c>
      <c r="F37" s="676">
        <v>1766.48</v>
      </c>
      <c r="G37" s="676">
        <v>1764.92</v>
      </c>
      <c r="H37" s="412">
        <f t="shared" si="1"/>
        <v>1.5599999999999454</v>
      </c>
      <c r="I37" s="412">
        <f t="shared" si="2"/>
        <v>1.3099999999999454</v>
      </c>
      <c r="J37" s="432">
        <v>1758.41</v>
      </c>
      <c r="K37" s="432">
        <v>1757.41</v>
      </c>
      <c r="L37" s="412">
        <f t="shared" si="3"/>
        <v>1</v>
      </c>
      <c r="M37" s="412">
        <f t="shared" si="4"/>
        <v>0.75</v>
      </c>
      <c r="N37" s="679">
        <f t="shared" si="5"/>
        <v>0.16372356660126425</v>
      </c>
      <c r="O37" s="680">
        <f t="shared" si="6"/>
        <v>0.175931981687376</v>
      </c>
      <c r="P37" s="415" t="str">
        <f t="shared" si="7"/>
        <v>TIPO3</v>
      </c>
      <c r="Q37" s="416" t="str">
        <f t="shared" si="8"/>
        <v>ANCLAR</v>
      </c>
    </row>
    <row r="38" spans="1:18" ht="15.75" x14ac:dyDescent="0.25">
      <c r="A38" s="1918"/>
      <c r="B38" s="642" t="s">
        <v>2489</v>
      </c>
      <c r="C38" s="430">
        <v>24.04</v>
      </c>
      <c r="D38" s="431">
        <v>10</v>
      </c>
      <c r="E38" s="413">
        <f t="shared" si="0"/>
        <v>250</v>
      </c>
      <c r="F38" s="676">
        <v>1758.41</v>
      </c>
      <c r="G38" s="676">
        <v>1757.41</v>
      </c>
      <c r="H38" s="412">
        <f t="shared" si="1"/>
        <v>1</v>
      </c>
      <c r="I38" s="412">
        <f t="shared" si="2"/>
        <v>0.75</v>
      </c>
      <c r="J38" s="432">
        <v>1758.71</v>
      </c>
      <c r="K38" s="432">
        <v>1756.44</v>
      </c>
      <c r="L38" s="412">
        <f t="shared" si="3"/>
        <v>2.2699999999999818</v>
      </c>
      <c r="M38" s="412">
        <f t="shared" si="4"/>
        <v>2.0199999999999818</v>
      </c>
      <c r="N38" s="679">
        <f t="shared" si="5"/>
        <v>4.0349417637272351E-2</v>
      </c>
      <c r="O38" s="680">
        <f t="shared" si="6"/>
        <v>-1.2479201331112917E-2</v>
      </c>
      <c r="P38" s="415" t="str">
        <f t="shared" si="7"/>
        <v>TIPO3</v>
      </c>
      <c r="Q38" s="416" t="str">
        <f t="shared" si="8"/>
        <v>OK</v>
      </c>
    </row>
    <row r="39" spans="1:18" ht="15.75" x14ac:dyDescent="0.25">
      <c r="A39" s="433" t="s">
        <v>2313</v>
      </c>
      <c r="B39" s="643" t="s">
        <v>2490</v>
      </c>
      <c r="C39" s="430">
        <v>64.69</v>
      </c>
      <c r="D39" s="431">
        <v>24</v>
      </c>
      <c r="E39" s="413">
        <f t="shared" si="0"/>
        <v>625</v>
      </c>
      <c r="F39" s="676">
        <v>1777.28</v>
      </c>
      <c r="G39" s="676">
        <v>1776.29</v>
      </c>
      <c r="H39" s="412">
        <f t="shared" si="1"/>
        <v>0.99000000000000909</v>
      </c>
      <c r="I39" s="412">
        <f t="shared" si="2"/>
        <v>0.36500000000000909</v>
      </c>
      <c r="J39" s="432">
        <v>1764.67</v>
      </c>
      <c r="K39" s="432">
        <v>1763.42</v>
      </c>
      <c r="L39" s="412">
        <f t="shared" si="3"/>
        <v>1.25</v>
      </c>
      <c r="M39" s="412">
        <f t="shared" si="4"/>
        <v>0.625</v>
      </c>
      <c r="N39" s="679">
        <f t="shared" si="5"/>
        <v>0.19894883289534537</v>
      </c>
      <c r="O39" s="680">
        <f t="shared" si="6"/>
        <v>0.19492966455402536</v>
      </c>
      <c r="P39" s="415" t="str">
        <f t="shared" si="7"/>
        <v>TIPO2</v>
      </c>
      <c r="Q39" s="416" t="str">
        <f t="shared" si="8"/>
        <v>ANCLAR</v>
      </c>
    </row>
    <row r="40" spans="1:18" ht="15.75" x14ac:dyDescent="0.25">
      <c r="A40" s="1919" t="s">
        <v>2314</v>
      </c>
      <c r="B40" s="643" t="s">
        <v>2491</v>
      </c>
      <c r="C40" s="430">
        <v>33.799999999999997</v>
      </c>
      <c r="D40" s="431">
        <v>24</v>
      </c>
      <c r="E40" s="413">
        <f t="shared" ref="E40:E71" si="9">+LOOKUP(D40,$G$125:$G$138,$I$125:$I$138)</f>
        <v>625</v>
      </c>
      <c r="F40" s="676">
        <v>1764.67</v>
      </c>
      <c r="G40" s="676">
        <v>1763.42</v>
      </c>
      <c r="H40" s="412">
        <f t="shared" si="1"/>
        <v>1.25</v>
      </c>
      <c r="I40" s="412">
        <f t="shared" si="2"/>
        <v>0.625</v>
      </c>
      <c r="J40" s="432">
        <v>1759.79</v>
      </c>
      <c r="K40" s="432">
        <v>1758.09</v>
      </c>
      <c r="L40" s="412">
        <f t="shared" si="3"/>
        <v>1.7000000000000455</v>
      </c>
      <c r="M40" s="412">
        <f t="shared" si="4"/>
        <v>1.0750000000000455</v>
      </c>
      <c r="N40" s="679">
        <f t="shared" si="5"/>
        <v>0.15769230769231227</v>
      </c>
      <c r="O40" s="680">
        <f t="shared" si="6"/>
        <v>0.1443786982248553</v>
      </c>
      <c r="P40" s="415" t="str">
        <f t="shared" si="7"/>
        <v>TIPO3</v>
      </c>
      <c r="Q40" s="416" t="str">
        <f t="shared" si="8"/>
        <v>ANCLAR</v>
      </c>
    </row>
    <row r="41" spans="1:18" ht="15.75" x14ac:dyDescent="0.25">
      <c r="A41" s="1915"/>
      <c r="B41" s="644" t="s">
        <v>2492</v>
      </c>
      <c r="C41" s="430">
        <v>62.59</v>
      </c>
      <c r="D41" s="431">
        <v>12</v>
      </c>
      <c r="E41" s="413">
        <f t="shared" si="9"/>
        <v>315</v>
      </c>
      <c r="F41" s="677">
        <v>1767.81</v>
      </c>
      <c r="G41" s="677">
        <v>1765.16</v>
      </c>
      <c r="H41" s="412">
        <f t="shared" si="1"/>
        <v>2.6499999999998636</v>
      </c>
      <c r="I41" s="412">
        <f t="shared" si="2"/>
        <v>2.3349999999998636</v>
      </c>
      <c r="J41" s="432" t="s">
        <v>2558</v>
      </c>
      <c r="K41" s="432">
        <v>1762.12</v>
      </c>
      <c r="L41" s="412" t="e">
        <f t="shared" si="3"/>
        <v>#VALUE!</v>
      </c>
      <c r="M41" s="412" t="e">
        <f t="shared" si="4"/>
        <v>#VALUE!</v>
      </c>
      <c r="N41" s="679">
        <f t="shared" si="5"/>
        <v>4.8570059114877627E-2</v>
      </c>
      <c r="O41" s="680" t="e">
        <f t="shared" si="6"/>
        <v>#VALUE!</v>
      </c>
      <c r="P41" s="415" t="e">
        <f t="shared" si="7"/>
        <v>#VALUE!</v>
      </c>
      <c r="Q41" s="416" t="str">
        <f t="shared" si="8"/>
        <v>OK</v>
      </c>
    </row>
    <row r="42" spans="1:18" ht="15.75" x14ac:dyDescent="0.25">
      <c r="B42" s="644" t="s">
        <v>2493</v>
      </c>
      <c r="C42" s="404">
        <v>71.27</v>
      </c>
      <c r="D42" s="404">
        <v>12</v>
      </c>
      <c r="E42" s="413">
        <f t="shared" si="9"/>
        <v>315</v>
      </c>
      <c r="F42" s="677">
        <v>1764.34</v>
      </c>
      <c r="G42" s="677">
        <v>1762.09</v>
      </c>
      <c r="H42" s="412">
        <f t="shared" si="1"/>
        <v>2.25</v>
      </c>
      <c r="I42" s="412">
        <f t="shared" si="2"/>
        <v>1.9350000000000001</v>
      </c>
      <c r="J42" s="432" t="s">
        <v>2559</v>
      </c>
      <c r="K42" s="432">
        <v>1755.66</v>
      </c>
      <c r="L42" s="412" t="e">
        <f t="shared" si="3"/>
        <v>#VALUE!</v>
      </c>
      <c r="M42" s="412" t="e">
        <f t="shared" si="4"/>
        <v>#VALUE!</v>
      </c>
      <c r="N42" s="679">
        <f t="shared" si="5"/>
        <v>9.0220289041670218E-2</v>
      </c>
      <c r="O42" s="680" t="e">
        <f t="shared" si="6"/>
        <v>#VALUE!</v>
      </c>
      <c r="P42" s="415" t="e">
        <f t="shared" si="7"/>
        <v>#VALUE!</v>
      </c>
      <c r="Q42" s="416" t="str">
        <f t="shared" si="8"/>
        <v>OK</v>
      </c>
    </row>
    <row r="43" spans="1:18" ht="15.75" x14ac:dyDescent="0.25">
      <c r="B43" s="645" t="s">
        <v>2494</v>
      </c>
      <c r="C43" s="404">
        <v>73.47</v>
      </c>
      <c r="D43" s="404">
        <v>10</v>
      </c>
      <c r="E43" s="413">
        <f t="shared" si="9"/>
        <v>250</v>
      </c>
      <c r="F43" s="677">
        <v>1774.82</v>
      </c>
      <c r="G43" s="677">
        <v>1773.5</v>
      </c>
      <c r="H43" s="412">
        <f t="shared" si="1"/>
        <v>1.3199999999999363</v>
      </c>
      <c r="I43" s="412">
        <f t="shared" si="2"/>
        <v>1.0699999999999363</v>
      </c>
      <c r="J43" s="432" t="s">
        <v>2560</v>
      </c>
      <c r="K43" s="432">
        <v>1762.44</v>
      </c>
      <c r="L43" s="412" t="e">
        <f t="shared" si="3"/>
        <v>#VALUE!</v>
      </c>
      <c r="M43" s="412" t="e">
        <f t="shared" si="4"/>
        <v>#VALUE!</v>
      </c>
      <c r="N43" s="679">
        <f t="shared" si="5"/>
        <v>0.15053763440860141</v>
      </c>
      <c r="O43" s="680" t="e">
        <f t="shared" si="6"/>
        <v>#VALUE!</v>
      </c>
      <c r="P43" s="415" t="e">
        <f t="shared" si="7"/>
        <v>#VALUE!</v>
      </c>
      <c r="Q43" s="416" t="str">
        <f t="shared" si="8"/>
        <v>ANCLAR</v>
      </c>
    </row>
    <row r="44" spans="1:18" ht="15.75" x14ac:dyDescent="0.25">
      <c r="B44" s="645" t="s">
        <v>2495</v>
      </c>
      <c r="C44" s="404">
        <v>32.68</v>
      </c>
      <c r="D44" s="404">
        <v>12</v>
      </c>
      <c r="E44" s="413">
        <f t="shared" si="9"/>
        <v>315</v>
      </c>
      <c r="F44" s="677">
        <v>1764.01</v>
      </c>
      <c r="G44" s="677">
        <v>1762.21</v>
      </c>
      <c r="H44" s="412">
        <f t="shared" si="1"/>
        <v>1.7999999999999545</v>
      </c>
      <c r="I44" s="412">
        <f t="shared" si="2"/>
        <v>1.4849999999999546</v>
      </c>
      <c r="J44" s="432" t="s">
        <v>2561</v>
      </c>
      <c r="K44" s="432">
        <v>1758.48</v>
      </c>
      <c r="L44" s="412" t="e">
        <f t="shared" si="3"/>
        <v>#VALUE!</v>
      </c>
      <c r="M44" s="412" t="e">
        <f t="shared" si="4"/>
        <v>#VALUE!</v>
      </c>
      <c r="N44" s="679">
        <f t="shared" si="5"/>
        <v>0.11413708690330533</v>
      </c>
      <c r="O44" s="680" t="e">
        <f t="shared" si="6"/>
        <v>#VALUE!</v>
      </c>
      <c r="P44" s="415" t="e">
        <f t="shared" si="7"/>
        <v>#VALUE!</v>
      </c>
      <c r="Q44" s="416" t="str">
        <f t="shared" si="8"/>
        <v>OK</v>
      </c>
    </row>
    <row r="45" spans="1:18" ht="15.75" x14ac:dyDescent="0.25">
      <c r="B45" s="645" t="s">
        <v>2496</v>
      </c>
      <c r="C45" s="404">
        <v>72.17</v>
      </c>
      <c r="D45" s="404">
        <v>14</v>
      </c>
      <c r="E45" s="413">
        <f t="shared" si="9"/>
        <v>355</v>
      </c>
      <c r="F45" s="677">
        <v>1761.82</v>
      </c>
      <c r="G45" s="677">
        <v>1758.41</v>
      </c>
      <c r="H45" s="412">
        <f t="shared" si="1"/>
        <v>3.4099999999998545</v>
      </c>
      <c r="I45" s="412">
        <f t="shared" si="2"/>
        <v>3.0549999999998545</v>
      </c>
      <c r="J45" s="432" t="s">
        <v>2562</v>
      </c>
      <c r="K45" s="432">
        <v>1749.6</v>
      </c>
      <c r="L45" s="412" t="e">
        <f t="shared" si="3"/>
        <v>#VALUE!</v>
      </c>
      <c r="M45" s="412" t="e">
        <f t="shared" si="4"/>
        <v>#VALUE!</v>
      </c>
      <c r="N45" s="679">
        <f t="shared" si="5"/>
        <v>0.1220728834695881</v>
      </c>
      <c r="O45" s="680" t="e">
        <f t="shared" si="6"/>
        <v>#VALUE!</v>
      </c>
      <c r="P45" s="415" t="e">
        <f t="shared" si="7"/>
        <v>#VALUE!</v>
      </c>
      <c r="Q45" s="416" t="str">
        <f t="shared" si="8"/>
        <v>OK</v>
      </c>
    </row>
    <row r="46" spans="1:18" ht="15.75" x14ac:dyDescent="0.25">
      <c r="B46" s="645" t="s">
        <v>2497</v>
      </c>
      <c r="C46" s="404">
        <v>99.5</v>
      </c>
      <c r="D46" s="404">
        <v>20</v>
      </c>
      <c r="E46" s="413">
        <f t="shared" si="9"/>
        <v>500</v>
      </c>
      <c r="F46" s="678">
        <v>1752.3</v>
      </c>
      <c r="G46" s="678">
        <v>1749.45</v>
      </c>
      <c r="H46" s="412">
        <f t="shared" si="1"/>
        <v>2.8499999999999091</v>
      </c>
      <c r="I46" s="412">
        <f t="shared" si="2"/>
        <v>2.3499999999999091</v>
      </c>
      <c r="J46" s="432">
        <v>1744.8</v>
      </c>
      <c r="K46" s="432">
        <v>1742.5</v>
      </c>
      <c r="L46" s="412">
        <f t="shared" si="3"/>
        <v>2.2999999999999545</v>
      </c>
      <c r="M46" s="412">
        <f t="shared" si="4"/>
        <v>1.7999999999999545</v>
      </c>
      <c r="N46" s="679">
        <f t="shared" si="5"/>
        <v>6.9849246231156237E-2</v>
      </c>
      <c r="O46" s="680">
        <f t="shared" si="6"/>
        <v>7.5376884422110546E-2</v>
      </c>
      <c r="P46" s="415" t="str">
        <f t="shared" si="7"/>
        <v>TIPO3</v>
      </c>
      <c r="Q46" s="416" t="str">
        <f t="shared" si="8"/>
        <v>OK</v>
      </c>
    </row>
    <row r="47" spans="1:18" ht="15.75" x14ac:dyDescent="0.25">
      <c r="B47" s="644" t="s">
        <v>2498</v>
      </c>
      <c r="C47" s="404">
        <v>77.81</v>
      </c>
      <c r="D47" s="404">
        <v>14</v>
      </c>
      <c r="E47" s="413">
        <f t="shared" si="9"/>
        <v>355</v>
      </c>
      <c r="F47" s="678">
        <v>1783.86</v>
      </c>
      <c r="G47" s="678">
        <v>1780.61</v>
      </c>
      <c r="H47" s="412">
        <f t="shared" si="1"/>
        <v>3.25</v>
      </c>
      <c r="I47" s="412">
        <f t="shared" si="2"/>
        <v>2.895</v>
      </c>
      <c r="J47" s="432">
        <v>1779.36</v>
      </c>
      <c r="K47" s="432">
        <v>1777.67</v>
      </c>
      <c r="L47" s="412">
        <f t="shared" si="3"/>
        <v>1.6899999999998272</v>
      </c>
      <c r="M47" s="412">
        <f t="shared" si="4"/>
        <v>1.3349999999998272</v>
      </c>
      <c r="N47" s="679">
        <f t="shared" si="5"/>
        <v>3.7784346485025412E-2</v>
      </c>
      <c r="O47" s="680">
        <f t="shared" si="6"/>
        <v>5.7833183395450453E-2</v>
      </c>
      <c r="P47" s="415" t="str">
        <f t="shared" si="7"/>
        <v>TIPO3</v>
      </c>
      <c r="Q47" s="416" t="str">
        <f t="shared" si="8"/>
        <v>OK</v>
      </c>
    </row>
    <row r="48" spans="1:18" ht="15.75" x14ac:dyDescent="0.25">
      <c r="B48" s="646" t="s">
        <v>2499</v>
      </c>
      <c r="C48" s="404">
        <v>92.83</v>
      </c>
      <c r="D48" s="404">
        <v>10</v>
      </c>
      <c r="E48" s="413">
        <f t="shared" si="9"/>
        <v>250</v>
      </c>
      <c r="F48" s="678">
        <v>1794.17</v>
      </c>
      <c r="G48" s="678">
        <v>1792.97</v>
      </c>
      <c r="H48" s="412">
        <f t="shared" si="1"/>
        <v>1.2000000000000455</v>
      </c>
      <c r="I48" s="412">
        <f t="shared" si="2"/>
        <v>0.95000000000004547</v>
      </c>
      <c r="J48" s="432">
        <v>1784.86</v>
      </c>
      <c r="K48" s="432">
        <v>1782.85</v>
      </c>
      <c r="L48" s="412">
        <f t="shared" si="3"/>
        <v>2.0099999999999909</v>
      </c>
      <c r="M48" s="412">
        <f t="shared" si="4"/>
        <v>1.7599999999999909</v>
      </c>
      <c r="N48" s="679">
        <f t="shared" si="5"/>
        <v>0.10901648174081782</v>
      </c>
      <c r="O48" s="680">
        <f t="shared" si="6"/>
        <v>0.10029085424970562</v>
      </c>
      <c r="P48" s="415" t="str">
        <f t="shared" si="7"/>
        <v>TIPO3</v>
      </c>
      <c r="Q48" s="416" t="str">
        <f t="shared" si="8"/>
        <v>OK</v>
      </c>
    </row>
    <row r="49" spans="2:17" ht="15.75" x14ac:dyDescent="0.25">
      <c r="B49" s="646" t="s">
        <v>2500</v>
      </c>
      <c r="C49" s="404">
        <v>73.25</v>
      </c>
      <c r="D49" s="404">
        <v>14</v>
      </c>
      <c r="E49" s="413">
        <f t="shared" si="9"/>
        <v>355</v>
      </c>
      <c r="F49" s="678">
        <v>1784.86</v>
      </c>
      <c r="G49" s="678">
        <v>1782.85</v>
      </c>
      <c r="H49" s="412">
        <f t="shared" si="1"/>
        <v>2.0099999999999909</v>
      </c>
      <c r="I49" s="412">
        <f t="shared" si="2"/>
        <v>1.6549999999999909</v>
      </c>
      <c r="J49" s="432">
        <v>1781.46</v>
      </c>
      <c r="K49" s="432">
        <v>1779.3</v>
      </c>
      <c r="L49" s="412">
        <f t="shared" si="3"/>
        <v>2.1600000000000819</v>
      </c>
      <c r="M49" s="412">
        <f t="shared" si="4"/>
        <v>1.8050000000000819</v>
      </c>
      <c r="N49" s="679">
        <f t="shared" si="5"/>
        <v>4.8464163822524976E-2</v>
      </c>
      <c r="O49" s="680">
        <f t="shared" si="6"/>
        <v>4.6416382252557863E-2</v>
      </c>
      <c r="P49" s="415" t="str">
        <f t="shared" si="7"/>
        <v>TIPO3</v>
      </c>
      <c r="Q49" s="416" t="str">
        <f t="shared" si="8"/>
        <v>OK</v>
      </c>
    </row>
    <row r="50" spans="2:17" ht="15.75" x14ac:dyDescent="0.25">
      <c r="B50" s="647" t="s">
        <v>2501</v>
      </c>
      <c r="C50" s="404">
        <v>24.8</v>
      </c>
      <c r="D50" s="404">
        <v>10</v>
      </c>
      <c r="E50" s="413">
        <f t="shared" si="9"/>
        <v>250</v>
      </c>
      <c r="F50" s="678">
        <v>1784.86</v>
      </c>
      <c r="G50" s="678">
        <v>1782.85</v>
      </c>
      <c r="H50" s="412">
        <f t="shared" si="1"/>
        <v>2.0099999999999909</v>
      </c>
      <c r="I50" s="412">
        <f t="shared" si="2"/>
        <v>1.7599999999999909</v>
      </c>
      <c r="J50" s="432">
        <v>1784.45</v>
      </c>
      <c r="K50" s="432">
        <v>1782</v>
      </c>
      <c r="L50" s="412">
        <f t="shared" si="3"/>
        <v>2.4500000000000455</v>
      </c>
      <c r="M50" s="412">
        <f t="shared" si="4"/>
        <v>2.2000000000000455</v>
      </c>
      <c r="N50" s="679">
        <f t="shared" si="5"/>
        <v>3.427419354838343E-2</v>
      </c>
      <c r="O50" s="680">
        <f t="shared" si="6"/>
        <v>1.6532258064510259E-2</v>
      </c>
      <c r="P50" s="415" t="str">
        <f t="shared" si="7"/>
        <v>TIPO3</v>
      </c>
      <c r="Q50" s="416" t="str">
        <f t="shared" si="8"/>
        <v>OK</v>
      </c>
    </row>
    <row r="51" spans="2:17" ht="15.75" x14ac:dyDescent="0.25">
      <c r="B51" s="648" t="s">
        <v>2502</v>
      </c>
      <c r="C51" s="404">
        <v>58.8</v>
      </c>
      <c r="D51" s="404">
        <v>24</v>
      </c>
      <c r="E51" s="413">
        <f t="shared" si="9"/>
        <v>625</v>
      </c>
      <c r="F51" s="678">
        <v>1784.45</v>
      </c>
      <c r="G51" s="678">
        <v>1782.52</v>
      </c>
      <c r="H51" s="412">
        <f t="shared" si="1"/>
        <v>1.9300000000000637</v>
      </c>
      <c r="I51" s="412">
        <f t="shared" si="2"/>
        <v>1.3050000000000637</v>
      </c>
      <c r="J51" s="432">
        <v>1784.45</v>
      </c>
      <c r="K51" s="432">
        <v>1781.7</v>
      </c>
      <c r="L51" s="412">
        <f t="shared" si="3"/>
        <v>2.75</v>
      </c>
      <c r="M51" s="412">
        <f t="shared" si="4"/>
        <v>2.125</v>
      </c>
      <c r="N51" s="679">
        <f t="shared" si="5"/>
        <v>1.3945578231291436E-2</v>
      </c>
      <c r="O51" s="680">
        <f t="shared" si="6"/>
        <v>0</v>
      </c>
      <c r="P51" s="415" t="str">
        <f t="shared" si="7"/>
        <v>TIPO3</v>
      </c>
      <c r="Q51" s="416" t="str">
        <f t="shared" si="8"/>
        <v>OK</v>
      </c>
    </row>
    <row r="52" spans="2:17" ht="15.75" x14ac:dyDescent="0.25">
      <c r="B52" s="638" t="s">
        <v>2503</v>
      </c>
      <c r="C52" s="404">
        <v>74.040000000000006</v>
      </c>
      <c r="D52" s="404">
        <v>14</v>
      </c>
      <c r="E52" s="413">
        <f t="shared" si="9"/>
        <v>355</v>
      </c>
      <c r="F52" s="678">
        <v>1784.45</v>
      </c>
      <c r="G52" s="678">
        <v>1782.52</v>
      </c>
      <c r="H52" s="412">
        <f t="shared" si="1"/>
        <v>1.9300000000000637</v>
      </c>
      <c r="I52" s="412">
        <f t="shared" si="2"/>
        <v>1.5750000000000637</v>
      </c>
      <c r="J52" s="432">
        <v>1783.45</v>
      </c>
      <c r="K52" s="432">
        <v>1780.7</v>
      </c>
      <c r="L52" s="412">
        <f t="shared" si="3"/>
        <v>2.75</v>
      </c>
      <c r="M52" s="412">
        <f t="shared" si="4"/>
        <v>2.395</v>
      </c>
      <c r="N52" s="679">
        <f t="shared" si="5"/>
        <v>2.4581307401403785E-2</v>
      </c>
      <c r="O52" s="680">
        <f t="shared" si="6"/>
        <v>1.350621285791464E-2</v>
      </c>
      <c r="P52" s="415" t="str">
        <f t="shared" si="7"/>
        <v>TIPO3</v>
      </c>
      <c r="Q52" s="416" t="str">
        <f t="shared" si="8"/>
        <v>OK</v>
      </c>
    </row>
    <row r="53" spans="2:17" ht="15.75" x14ac:dyDescent="0.25">
      <c r="B53" s="649" t="s">
        <v>2504</v>
      </c>
      <c r="C53" s="404">
        <v>51.27</v>
      </c>
      <c r="D53" s="404">
        <v>10</v>
      </c>
      <c r="E53" s="413">
        <f t="shared" si="9"/>
        <v>250</v>
      </c>
      <c r="F53" s="678">
        <v>1783.9</v>
      </c>
      <c r="G53" s="678">
        <v>1782.9</v>
      </c>
      <c r="H53" s="412">
        <f t="shared" si="1"/>
        <v>1</v>
      </c>
      <c r="I53" s="412">
        <f t="shared" si="2"/>
        <v>0.75</v>
      </c>
      <c r="J53" s="432">
        <v>1781.44</v>
      </c>
      <c r="K53" s="432">
        <v>1779.69</v>
      </c>
      <c r="L53" s="412">
        <f t="shared" si="3"/>
        <v>1.75</v>
      </c>
      <c r="M53" s="412">
        <f t="shared" si="4"/>
        <v>1.5</v>
      </c>
      <c r="N53" s="679">
        <f t="shared" si="5"/>
        <v>6.2609713282622118E-2</v>
      </c>
      <c r="O53" s="680">
        <f t="shared" si="6"/>
        <v>4.798127559976665E-2</v>
      </c>
      <c r="P53" s="415" t="str">
        <f t="shared" si="7"/>
        <v>TIPO3</v>
      </c>
      <c r="Q53" s="416" t="str">
        <f t="shared" si="8"/>
        <v>OK</v>
      </c>
    </row>
    <row r="54" spans="2:17" ht="15.75" x14ac:dyDescent="0.25">
      <c r="B54" s="650" t="s">
        <v>2505</v>
      </c>
      <c r="C54" s="404">
        <v>95.61</v>
      </c>
      <c r="D54" s="404">
        <v>12</v>
      </c>
      <c r="E54" s="413">
        <f t="shared" si="9"/>
        <v>315</v>
      </c>
      <c r="F54" s="678">
        <v>1778.8</v>
      </c>
      <c r="G54" s="678">
        <v>1776.71</v>
      </c>
      <c r="H54" s="412">
        <f t="shared" si="1"/>
        <v>2.0899999999999181</v>
      </c>
      <c r="I54" s="412">
        <f t="shared" si="2"/>
        <v>1.7749999999999182</v>
      </c>
      <c r="J54" s="432">
        <v>1766.13</v>
      </c>
      <c r="K54" s="432">
        <v>1763.58</v>
      </c>
      <c r="L54" s="412">
        <f t="shared" si="3"/>
        <v>2.5500000000001819</v>
      </c>
      <c r="M54" s="412">
        <f t="shared" si="4"/>
        <v>2.235000000000182</v>
      </c>
      <c r="N54" s="679">
        <f t="shared" si="5"/>
        <v>0.13732873130425802</v>
      </c>
      <c r="O54" s="680">
        <f t="shared" si="6"/>
        <v>0.13251751908795989</v>
      </c>
      <c r="P54" s="415" t="str">
        <f t="shared" si="7"/>
        <v>TIPO3</v>
      </c>
      <c r="Q54" s="416" t="str">
        <f t="shared" si="8"/>
        <v>OK</v>
      </c>
    </row>
    <row r="55" spans="2:17" ht="15.75" x14ac:dyDescent="0.25">
      <c r="B55" s="651" t="s">
        <v>2506</v>
      </c>
      <c r="C55" s="404">
        <v>48.8</v>
      </c>
      <c r="D55" s="404">
        <v>18</v>
      </c>
      <c r="E55" s="413">
        <f t="shared" si="9"/>
        <v>450</v>
      </c>
      <c r="F55" s="678">
        <v>1771</v>
      </c>
      <c r="G55" s="678">
        <v>1768.17</v>
      </c>
      <c r="H55" s="412">
        <f t="shared" si="1"/>
        <v>2.8299999999999272</v>
      </c>
      <c r="I55" s="412">
        <f t="shared" si="2"/>
        <v>2.3799999999999271</v>
      </c>
      <c r="J55" s="432">
        <v>1765.5</v>
      </c>
      <c r="K55" s="432">
        <v>1762.67</v>
      </c>
      <c r="L55" s="412">
        <f t="shared" si="3"/>
        <v>2.8299999999999272</v>
      </c>
      <c r="M55" s="412">
        <f t="shared" si="4"/>
        <v>2.3799999999999271</v>
      </c>
      <c r="N55" s="679">
        <f t="shared" si="5"/>
        <v>0.11270491803278689</v>
      </c>
      <c r="O55" s="680">
        <f t="shared" si="6"/>
        <v>0.11270491803278689</v>
      </c>
      <c r="P55" s="415" t="str">
        <f t="shared" si="7"/>
        <v>TIPO3</v>
      </c>
      <c r="Q55" s="416" t="str">
        <f t="shared" si="8"/>
        <v>OK</v>
      </c>
    </row>
    <row r="56" spans="2:17" ht="15.75" x14ac:dyDescent="0.25">
      <c r="B56" s="651" t="s">
        <v>2507</v>
      </c>
      <c r="C56" s="404">
        <v>38.799999999999997</v>
      </c>
      <c r="D56" s="404">
        <v>18</v>
      </c>
      <c r="E56" s="413">
        <f t="shared" si="9"/>
        <v>450</v>
      </c>
      <c r="F56" s="678">
        <v>1765.5</v>
      </c>
      <c r="G56" s="678">
        <v>1762.65</v>
      </c>
      <c r="H56" s="412">
        <f t="shared" si="1"/>
        <v>2.8499999999999091</v>
      </c>
      <c r="I56" s="412">
        <f t="shared" si="2"/>
        <v>2.3999999999999089</v>
      </c>
      <c r="J56" s="432">
        <v>1766.13</v>
      </c>
      <c r="K56" s="432">
        <v>1761.3</v>
      </c>
      <c r="L56" s="412">
        <f t="shared" si="3"/>
        <v>4.8300000000001546</v>
      </c>
      <c r="M56" s="412">
        <f t="shared" si="4"/>
        <v>4.3800000000001544</v>
      </c>
      <c r="N56" s="679">
        <f t="shared" si="5"/>
        <v>3.479381443299321E-2</v>
      </c>
      <c r="O56" s="680">
        <f t="shared" si="6"/>
        <v>-1.6237113402064671E-2</v>
      </c>
      <c r="P56" s="415" t="str">
        <f t="shared" si="7"/>
        <v>TIPO3</v>
      </c>
      <c r="Q56" s="416" t="str">
        <f t="shared" si="8"/>
        <v>OK</v>
      </c>
    </row>
    <row r="57" spans="2:17" ht="15.75" x14ac:dyDescent="0.25">
      <c r="B57" s="652" t="s">
        <v>2508</v>
      </c>
      <c r="C57" s="404">
        <v>96.82</v>
      </c>
      <c r="D57" s="404">
        <v>14</v>
      </c>
      <c r="E57" s="413">
        <f t="shared" si="9"/>
        <v>355</v>
      </c>
      <c r="F57" s="678">
        <v>1771</v>
      </c>
      <c r="G57" s="678">
        <v>1769.35</v>
      </c>
      <c r="H57" s="412">
        <f t="shared" si="1"/>
        <v>1.6500000000000909</v>
      </c>
      <c r="I57" s="412">
        <f t="shared" si="2"/>
        <v>1.295000000000091</v>
      </c>
      <c r="J57" s="432">
        <v>1770</v>
      </c>
      <c r="K57" s="432">
        <v>1767.75</v>
      </c>
      <c r="L57" s="412">
        <f t="shared" si="3"/>
        <v>2.25</v>
      </c>
      <c r="M57" s="412">
        <f t="shared" si="4"/>
        <v>1.895</v>
      </c>
      <c r="N57" s="679">
        <f t="shared" si="5"/>
        <v>1.6525511258003608E-2</v>
      </c>
      <c r="O57" s="680">
        <f t="shared" si="6"/>
        <v>1.0328444536252842E-2</v>
      </c>
      <c r="P57" s="415" t="str">
        <f t="shared" si="7"/>
        <v>TIPO3</v>
      </c>
      <c r="Q57" s="416" t="str">
        <f t="shared" si="8"/>
        <v>OK</v>
      </c>
    </row>
    <row r="58" spans="2:17" ht="15.75" x14ac:dyDescent="0.25">
      <c r="B58" s="653" t="s">
        <v>2509</v>
      </c>
      <c r="C58" s="404">
        <v>98.38</v>
      </c>
      <c r="D58" s="404">
        <v>10</v>
      </c>
      <c r="E58" s="413">
        <f t="shared" si="9"/>
        <v>250</v>
      </c>
      <c r="F58" s="678">
        <v>1770.08</v>
      </c>
      <c r="G58" s="678">
        <v>1768.12</v>
      </c>
      <c r="H58" s="412">
        <f t="shared" si="1"/>
        <v>1.9600000000000364</v>
      </c>
      <c r="I58" s="412">
        <f t="shared" si="2"/>
        <v>1.7100000000000364</v>
      </c>
      <c r="J58" s="432">
        <v>1762.99</v>
      </c>
      <c r="K58" s="432">
        <v>1761.66</v>
      </c>
      <c r="L58" s="412">
        <f t="shared" si="3"/>
        <v>1.3299999999999272</v>
      </c>
      <c r="M58" s="412">
        <f t="shared" si="4"/>
        <v>1.0799999999999272</v>
      </c>
      <c r="N58" s="679">
        <f t="shared" si="5"/>
        <v>6.5663752795281652E-2</v>
      </c>
      <c r="O58" s="680">
        <f t="shared" si="6"/>
        <v>7.2067493392965226E-2</v>
      </c>
      <c r="P58" s="415" t="str">
        <f t="shared" si="7"/>
        <v>TIPO3</v>
      </c>
      <c r="Q58" s="416" t="str">
        <f t="shared" si="8"/>
        <v>OK</v>
      </c>
    </row>
    <row r="59" spans="2:17" ht="15.75" x14ac:dyDescent="0.25">
      <c r="B59" s="654" t="s">
        <v>2510</v>
      </c>
      <c r="C59" s="404">
        <v>53.3</v>
      </c>
      <c r="D59" s="404">
        <v>10</v>
      </c>
      <c r="E59" s="413">
        <f t="shared" si="9"/>
        <v>250</v>
      </c>
      <c r="F59" s="678">
        <v>1762.99</v>
      </c>
      <c r="G59" s="678">
        <v>1761.64</v>
      </c>
      <c r="H59" s="412">
        <f t="shared" si="1"/>
        <v>1.3499999999999091</v>
      </c>
      <c r="I59" s="412">
        <f t="shared" si="2"/>
        <v>1.0999999999999091</v>
      </c>
      <c r="J59" s="432">
        <v>1754.93</v>
      </c>
      <c r="K59" s="432">
        <v>1753.43</v>
      </c>
      <c r="L59" s="412">
        <f t="shared" si="3"/>
        <v>1.5</v>
      </c>
      <c r="M59" s="412">
        <f t="shared" si="4"/>
        <v>1.25</v>
      </c>
      <c r="N59" s="679">
        <f t="shared" si="5"/>
        <v>0.15403377110694252</v>
      </c>
      <c r="O59" s="680">
        <f t="shared" si="6"/>
        <v>0.15121951219512095</v>
      </c>
      <c r="P59" s="415" t="str">
        <f t="shared" si="7"/>
        <v>TIPO3</v>
      </c>
      <c r="Q59" s="416" t="str">
        <f t="shared" si="8"/>
        <v>ANCLAR</v>
      </c>
    </row>
    <row r="60" spans="2:17" ht="15.75" x14ac:dyDescent="0.25">
      <c r="B60" s="654" t="s">
        <v>2511</v>
      </c>
      <c r="C60" s="404">
        <v>30</v>
      </c>
      <c r="D60" s="404">
        <v>10</v>
      </c>
      <c r="E60" s="413">
        <f t="shared" si="9"/>
        <v>250</v>
      </c>
      <c r="F60" s="678">
        <v>1754.93</v>
      </c>
      <c r="G60" s="678">
        <v>1753.43</v>
      </c>
      <c r="H60" s="412">
        <f t="shared" si="1"/>
        <v>1.5</v>
      </c>
      <c r="I60" s="412">
        <f t="shared" si="2"/>
        <v>1.25</v>
      </c>
      <c r="J60" s="432">
        <v>1750.28</v>
      </c>
      <c r="K60" s="432">
        <v>1748.68</v>
      </c>
      <c r="L60" s="412">
        <f t="shared" si="3"/>
        <v>1.5999999999999091</v>
      </c>
      <c r="M60" s="412">
        <f t="shared" si="4"/>
        <v>1.3499999999999091</v>
      </c>
      <c r="N60" s="679">
        <f t="shared" si="5"/>
        <v>0.15833333333333333</v>
      </c>
      <c r="O60" s="680">
        <f t="shared" si="6"/>
        <v>0.15500000000000302</v>
      </c>
      <c r="P60" s="415" t="str">
        <f t="shared" si="7"/>
        <v>TIPO3</v>
      </c>
      <c r="Q60" s="416" t="str">
        <f t="shared" si="8"/>
        <v>ANCLAR</v>
      </c>
    </row>
    <row r="61" spans="2:17" ht="15.75" x14ac:dyDescent="0.25">
      <c r="B61" s="655" t="s">
        <v>2512</v>
      </c>
      <c r="C61" s="404">
        <v>95.84</v>
      </c>
      <c r="D61" s="404">
        <v>24</v>
      </c>
      <c r="E61" s="413">
        <f t="shared" si="9"/>
        <v>625</v>
      </c>
      <c r="F61" s="678">
        <v>1769.58</v>
      </c>
      <c r="G61" s="678">
        <v>1766.38</v>
      </c>
      <c r="H61" s="412">
        <f t="shared" si="1"/>
        <v>3.1999999999998181</v>
      </c>
      <c r="I61" s="412">
        <f t="shared" si="2"/>
        <v>2.5749999999998181</v>
      </c>
      <c r="J61" s="432">
        <v>1759.7</v>
      </c>
      <c r="K61" s="432">
        <v>1757.61</v>
      </c>
      <c r="L61" s="412">
        <f t="shared" si="3"/>
        <v>2.0900000000001455</v>
      </c>
      <c r="M61" s="412">
        <f t="shared" si="4"/>
        <v>1.4650000000001455</v>
      </c>
      <c r="N61" s="679">
        <f t="shared" si="5"/>
        <v>9.1506677796329386E-2</v>
      </c>
      <c r="O61" s="680">
        <f t="shared" si="6"/>
        <v>0.10308848080133433</v>
      </c>
      <c r="P61" s="415" t="str">
        <f t="shared" si="7"/>
        <v>TIPO3</v>
      </c>
      <c r="Q61" s="416" t="str">
        <f t="shared" si="8"/>
        <v>OK</v>
      </c>
    </row>
    <row r="62" spans="2:17" ht="15.75" x14ac:dyDescent="0.25">
      <c r="B62" s="656" t="s">
        <v>2513</v>
      </c>
      <c r="C62" s="404">
        <v>99.17</v>
      </c>
      <c r="D62" s="404">
        <v>12</v>
      </c>
      <c r="E62" s="413">
        <f t="shared" si="9"/>
        <v>315</v>
      </c>
      <c r="F62" s="678">
        <v>1762.99</v>
      </c>
      <c r="G62" s="678">
        <v>1762.09</v>
      </c>
      <c r="H62" s="412">
        <f t="shared" si="1"/>
        <v>0.90000000000009095</v>
      </c>
      <c r="I62" s="412">
        <f t="shared" si="2"/>
        <v>0.585000000000091</v>
      </c>
      <c r="J62" s="432">
        <v>1759.7</v>
      </c>
      <c r="K62" s="432">
        <v>1757.6</v>
      </c>
      <c r="L62" s="412">
        <f t="shared" si="3"/>
        <v>2.1000000000001364</v>
      </c>
      <c r="M62" s="412">
        <f t="shared" si="4"/>
        <v>1.7850000000001365</v>
      </c>
      <c r="N62" s="679">
        <f t="shared" si="5"/>
        <v>4.5275789049107687E-2</v>
      </c>
      <c r="O62" s="680">
        <f t="shared" si="6"/>
        <v>3.3175355450236602E-2</v>
      </c>
      <c r="P62" s="415" t="str">
        <f t="shared" si="7"/>
        <v>TIPO3</v>
      </c>
      <c r="Q62" s="416" t="str">
        <f t="shared" si="8"/>
        <v>OK</v>
      </c>
    </row>
    <row r="63" spans="2:17" ht="15.75" x14ac:dyDescent="0.25">
      <c r="B63" s="655" t="s">
        <v>2514</v>
      </c>
      <c r="C63" s="404">
        <v>15</v>
      </c>
      <c r="D63" s="404">
        <v>24</v>
      </c>
      <c r="E63" s="413">
        <f t="shared" si="9"/>
        <v>625</v>
      </c>
      <c r="F63" s="678">
        <v>1759.7</v>
      </c>
      <c r="G63" s="678">
        <v>1757.49</v>
      </c>
      <c r="H63" s="412">
        <f t="shared" si="1"/>
        <v>2.2100000000000364</v>
      </c>
      <c r="I63" s="412">
        <f t="shared" si="2"/>
        <v>1.5850000000000364</v>
      </c>
      <c r="J63" s="432">
        <v>1756.99</v>
      </c>
      <c r="K63" s="432">
        <v>1754.98</v>
      </c>
      <c r="L63" s="412">
        <f t="shared" si="3"/>
        <v>2.0099999999999909</v>
      </c>
      <c r="M63" s="412">
        <f t="shared" si="4"/>
        <v>1.3849999999999909</v>
      </c>
      <c r="N63" s="679">
        <f t="shared" si="5"/>
        <v>0.16733333333333272</v>
      </c>
      <c r="O63" s="680">
        <f t="shared" si="6"/>
        <v>0.18066666666666908</v>
      </c>
      <c r="P63" s="415" t="str">
        <f t="shared" si="7"/>
        <v>TIPO3</v>
      </c>
      <c r="Q63" s="416" t="str">
        <f t="shared" si="8"/>
        <v>ANCLAR</v>
      </c>
    </row>
    <row r="64" spans="2:17" ht="15.75" x14ac:dyDescent="0.25">
      <c r="B64" s="655" t="s">
        <v>2515</v>
      </c>
      <c r="C64" s="404">
        <v>36.369999999999997</v>
      </c>
      <c r="D64" s="404">
        <v>24</v>
      </c>
      <c r="E64" s="413">
        <f t="shared" si="9"/>
        <v>625</v>
      </c>
      <c r="F64" s="678">
        <v>1756.99</v>
      </c>
      <c r="G64" s="678">
        <v>1754.97</v>
      </c>
      <c r="H64" s="412">
        <f t="shared" si="1"/>
        <v>2.0199999999999818</v>
      </c>
      <c r="I64" s="412">
        <f t="shared" si="2"/>
        <v>1.3949999999999818</v>
      </c>
      <c r="J64" s="432">
        <v>1750.98</v>
      </c>
      <c r="K64" s="432">
        <v>1749.05</v>
      </c>
      <c r="L64" s="412">
        <f t="shared" si="3"/>
        <v>1.9300000000000637</v>
      </c>
      <c r="M64" s="412">
        <f t="shared" si="4"/>
        <v>1.3050000000000637</v>
      </c>
      <c r="N64" s="679">
        <f t="shared" si="5"/>
        <v>0.16277151498487966</v>
      </c>
      <c r="O64" s="680">
        <f t="shared" si="6"/>
        <v>0.16524608193566101</v>
      </c>
      <c r="P64" s="415" t="str">
        <f t="shared" si="7"/>
        <v>TIPO3</v>
      </c>
      <c r="Q64" s="416" t="str">
        <f t="shared" si="8"/>
        <v>ANCLAR</v>
      </c>
    </row>
    <row r="65" spans="2:17" ht="15.75" x14ac:dyDescent="0.25">
      <c r="B65" s="655" t="s">
        <v>2516</v>
      </c>
      <c r="C65" s="404">
        <v>27.56</v>
      </c>
      <c r="D65" s="404">
        <v>24</v>
      </c>
      <c r="E65" s="413">
        <f t="shared" si="9"/>
        <v>625</v>
      </c>
      <c r="F65" s="678">
        <v>1750.98</v>
      </c>
      <c r="G65" s="678">
        <v>1748.92</v>
      </c>
      <c r="H65" s="412">
        <f t="shared" si="1"/>
        <v>2.0599999999999454</v>
      </c>
      <c r="I65" s="412">
        <f t="shared" si="2"/>
        <v>1.4349999999999454</v>
      </c>
      <c r="J65" s="432">
        <v>1747.27</v>
      </c>
      <c r="K65" s="432">
        <v>1745.35</v>
      </c>
      <c r="L65" s="412">
        <f t="shared" si="3"/>
        <v>1.9200000000000728</v>
      </c>
      <c r="M65" s="412">
        <f t="shared" si="4"/>
        <v>1.2950000000000728</v>
      </c>
      <c r="N65" s="679">
        <f t="shared" si="5"/>
        <v>0.12953555878084774</v>
      </c>
      <c r="O65" s="680">
        <f t="shared" si="6"/>
        <v>0.13461538461538594</v>
      </c>
      <c r="P65" s="415" t="str">
        <f t="shared" si="7"/>
        <v>TIPO3</v>
      </c>
      <c r="Q65" s="416" t="str">
        <f t="shared" si="8"/>
        <v>OK</v>
      </c>
    </row>
    <row r="66" spans="2:17" ht="15.75" x14ac:dyDescent="0.25">
      <c r="B66" s="657" t="s">
        <v>2517</v>
      </c>
      <c r="C66" s="404">
        <v>102.27</v>
      </c>
      <c r="D66" s="404">
        <v>10</v>
      </c>
      <c r="E66" s="413">
        <f t="shared" si="9"/>
        <v>250</v>
      </c>
      <c r="F66" s="678">
        <v>1750.28</v>
      </c>
      <c r="G66" s="678">
        <v>1749.18</v>
      </c>
      <c r="H66" s="412">
        <f t="shared" si="1"/>
        <v>1.0999999999999091</v>
      </c>
      <c r="I66" s="412">
        <f t="shared" si="2"/>
        <v>0.84999999999990905</v>
      </c>
      <c r="J66" s="432">
        <v>1747.27</v>
      </c>
      <c r="K66" s="432">
        <v>1745.3</v>
      </c>
      <c r="L66" s="412">
        <f t="shared" si="3"/>
        <v>1.9700000000000273</v>
      </c>
      <c r="M66" s="412">
        <f t="shared" si="4"/>
        <v>1.7200000000000273</v>
      </c>
      <c r="N66" s="679">
        <f t="shared" si="5"/>
        <v>3.7938789478831614E-2</v>
      </c>
      <c r="O66" s="680">
        <f t="shared" si="6"/>
        <v>2.943189596167E-2</v>
      </c>
      <c r="P66" s="415" t="str">
        <f t="shared" si="7"/>
        <v>TIPO3</v>
      </c>
      <c r="Q66" s="416" t="str">
        <f t="shared" si="8"/>
        <v>OK</v>
      </c>
    </row>
    <row r="67" spans="2:17" ht="15.75" x14ac:dyDescent="0.25">
      <c r="B67" s="658" t="s">
        <v>2518</v>
      </c>
      <c r="C67" s="404">
        <v>91.47</v>
      </c>
      <c r="D67" s="404">
        <v>14</v>
      </c>
      <c r="E67" s="413">
        <f t="shared" si="9"/>
        <v>355</v>
      </c>
      <c r="F67" s="678">
        <v>1747.27</v>
      </c>
      <c r="G67" s="678">
        <v>1745.53</v>
      </c>
      <c r="H67" s="412">
        <f t="shared" si="1"/>
        <v>1.7400000000000091</v>
      </c>
      <c r="I67" s="412">
        <f t="shared" si="2"/>
        <v>1.3850000000000091</v>
      </c>
      <c r="J67" s="432">
        <v>1746.44</v>
      </c>
      <c r="K67" s="432">
        <v>1744.49</v>
      </c>
      <c r="L67" s="412">
        <f t="shared" si="3"/>
        <v>1.9500000000000455</v>
      </c>
      <c r="M67" s="412">
        <f t="shared" si="4"/>
        <v>1.5950000000000455</v>
      </c>
      <c r="N67" s="679">
        <f t="shared" si="5"/>
        <v>1.1369848037607561E-2</v>
      </c>
      <c r="O67" s="680">
        <f t="shared" si="6"/>
        <v>9.0740133377055568E-3</v>
      </c>
      <c r="P67" s="415" t="str">
        <f t="shared" si="7"/>
        <v>TIPO3</v>
      </c>
      <c r="Q67" s="416" t="str">
        <f t="shared" si="8"/>
        <v>OK</v>
      </c>
    </row>
    <row r="68" spans="2:17" ht="15.75" x14ac:dyDescent="0.25">
      <c r="B68" s="659" t="s">
        <v>2519</v>
      </c>
      <c r="C68" s="404">
        <v>95.31</v>
      </c>
      <c r="D68" s="404">
        <v>20</v>
      </c>
      <c r="E68" s="413">
        <f t="shared" si="9"/>
        <v>500</v>
      </c>
      <c r="F68" s="678">
        <v>1760.87</v>
      </c>
      <c r="G68" s="678">
        <v>1757.12</v>
      </c>
      <c r="H68" s="412">
        <f t="shared" si="1"/>
        <v>3.75</v>
      </c>
      <c r="I68" s="412">
        <f t="shared" si="2"/>
        <v>3.25</v>
      </c>
      <c r="J68" s="432">
        <v>1754.49</v>
      </c>
      <c r="K68" s="432">
        <v>1752.14</v>
      </c>
      <c r="L68" s="412">
        <f t="shared" si="3"/>
        <v>2.3499999999999091</v>
      </c>
      <c r="M68" s="412">
        <f t="shared" si="4"/>
        <v>1.8499999999999091</v>
      </c>
      <c r="N68" s="679">
        <f t="shared" si="5"/>
        <v>5.2250550834118045E-2</v>
      </c>
      <c r="O68" s="680">
        <f t="shared" si="6"/>
        <v>6.6939460707164847E-2</v>
      </c>
      <c r="P68" s="415" t="str">
        <f t="shared" si="7"/>
        <v>TIPO3</v>
      </c>
      <c r="Q68" s="416" t="str">
        <f t="shared" si="8"/>
        <v>OK</v>
      </c>
    </row>
    <row r="69" spans="2:17" ht="15.75" x14ac:dyDescent="0.25">
      <c r="B69" s="659" t="s">
        <v>2520</v>
      </c>
      <c r="C69" s="404">
        <v>90.1</v>
      </c>
      <c r="D69" s="404">
        <v>24</v>
      </c>
      <c r="E69" s="413">
        <f t="shared" si="9"/>
        <v>625</v>
      </c>
      <c r="F69" s="678">
        <v>1754.49</v>
      </c>
      <c r="G69" s="678">
        <v>1752.12</v>
      </c>
      <c r="H69" s="412">
        <f t="shared" si="1"/>
        <v>2.3700000000001182</v>
      </c>
      <c r="I69" s="412">
        <f t="shared" si="2"/>
        <v>1.7450000000001182</v>
      </c>
      <c r="J69" s="432">
        <v>1752.37</v>
      </c>
      <c r="K69" s="432">
        <v>1749.54</v>
      </c>
      <c r="L69" s="412">
        <f t="shared" si="3"/>
        <v>2.8299999999999272</v>
      </c>
      <c r="M69" s="412">
        <f t="shared" si="4"/>
        <v>2.2049999999999272</v>
      </c>
      <c r="N69" s="679">
        <f t="shared" si="5"/>
        <v>2.8634850166480881E-2</v>
      </c>
      <c r="O69" s="680">
        <f t="shared" si="6"/>
        <v>2.3529411764707197E-2</v>
      </c>
      <c r="P69" s="415" t="str">
        <f t="shared" si="7"/>
        <v>TIPO3</v>
      </c>
      <c r="Q69" s="416" t="str">
        <f t="shared" si="8"/>
        <v>OK</v>
      </c>
    </row>
    <row r="70" spans="2:17" ht="15.75" x14ac:dyDescent="0.25">
      <c r="B70" s="660" t="s">
        <v>2521</v>
      </c>
      <c r="C70" s="404">
        <v>80.290000000000006</v>
      </c>
      <c r="D70" s="404">
        <v>10</v>
      </c>
      <c r="E70" s="413">
        <f t="shared" si="9"/>
        <v>250</v>
      </c>
      <c r="F70" s="678">
        <v>1752.37</v>
      </c>
      <c r="G70" s="678">
        <v>1750.69</v>
      </c>
      <c r="H70" s="412">
        <f t="shared" ref="H70:H103" si="10">+F70-G70</f>
        <v>1.6799999999998363</v>
      </c>
      <c r="I70" s="412">
        <f t="shared" ref="I70:I103" si="11">+H70-(E70/1000)</f>
        <v>1.4299999999998363</v>
      </c>
      <c r="J70" s="432">
        <v>1746.44</v>
      </c>
      <c r="K70" s="432">
        <v>1744.49</v>
      </c>
      <c r="L70" s="412">
        <f t="shared" ref="L70:L103" si="12">+J70-K70</f>
        <v>1.9500000000000455</v>
      </c>
      <c r="M70" s="412">
        <f t="shared" si="4"/>
        <v>1.7000000000000455</v>
      </c>
      <c r="N70" s="679">
        <f t="shared" si="5"/>
        <v>7.7220077220077774E-2</v>
      </c>
      <c r="O70" s="680">
        <f t="shared" si="6"/>
        <v>7.385726740565246E-2</v>
      </c>
      <c r="P70" s="415" t="str">
        <f t="shared" si="7"/>
        <v>TIPO3</v>
      </c>
      <c r="Q70" s="416" t="str">
        <f t="shared" si="8"/>
        <v>OK</v>
      </c>
    </row>
    <row r="71" spans="2:17" ht="15.75" x14ac:dyDescent="0.25">
      <c r="B71" s="658" t="s">
        <v>2522</v>
      </c>
      <c r="C71" s="404">
        <v>98.86</v>
      </c>
      <c r="D71" s="404">
        <v>18</v>
      </c>
      <c r="E71" s="413">
        <f t="shared" si="9"/>
        <v>450</v>
      </c>
      <c r="F71" s="678">
        <v>1746.44</v>
      </c>
      <c r="G71" s="678">
        <v>1744.38</v>
      </c>
      <c r="H71" s="412">
        <f t="shared" si="10"/>
        <v>2.0599999999999454</v>
      </c>
      <c r="I71" s="412">
        <f t="shared" si="11"/>
        <v>1.6099999999999455</v>
      </c>
      <c r="J71" s="432">
        <v>1745.12</v>
      </c>
      <c r="K71" s="432">
        <v>1742.62</v>
      </c>
      <c r="L71" s="412">
        <f t="shared" si="12"/>
        <v>2.5</v>
      </c>
      <c r="M71" s="412">
        <f t="shared" si="4"/>
        <v>2.0499999999999998</v>
      </c>
      <c r="N71" s="679">
        <f t="shared" si="5"/>
        <v>1.7802953671861403E-2</v>
      </c>
      <c r="O71" s="680">
        <f t="shared" si="6"/>
        <v>1.3352215253896052E-2</v>
      </c>
      <c r="P71" s="415" t="str">
        <f t="shared" si="7"/>
        <v>TIPO3</v>
      </c>
      <c r="Q71" s="416" t="str">
        <f t="shared" si="8"/>
        <v>OK</v>
      </c>
    </row>
    <row r="72" spans="2:17" ht="15.75" x14ac:dyDescent="0.25">
      <c r="B72" s="661" t="s">
        <v>2523</v>
      </c>
      <c r="C72" s="404">
        <v>91.37</v>
      </c>
      <c r="D72" s="404">
        <v>24</v>
      </c>
      <c r="E72" s="413">
        <f t="shared" ref="E72:E103" si="13">+LOOKUP(D72,$G$125:$G$138,$I$125:$I$138)</f>
        <v>625</v>
      </c>
      <c r="F72" s="678">
        <v>1753.32</v>
      </c>
      <c r="G72" s="678">
        <v>1750.5</v>
      </c>
      <c r="H72" s="412">
        <f t="shared" si="10"/>
        <v>2.8199999999999363</v>
      </c>
      <c r="I72" s="412">
        <f t="shared" si="11"/>
        <v>2.1949999999999363</v>
      </c>
      <c r="J72" s="432">
        <v>1752.29</v>
      </c>
      <c r="K72" s="432">
        <v>1749.7</v>
      </c>
      <c r="L72" s="412">
        <f t="shared" si="12"/>
        <v>2.5899999999999181</v>
      </c>
      <c r="M72" s="412">
        <f t="shared" si="4"/>
        <v>1.9649999999999181</v>
      </c>
      <c r="N72" s="679">
        <f t="shared" si="5"/>
        <v>8.7556090620548813E-3</v>
      </c>
      <c r="O72" s="680">
        <f t="shared" si="6"/>
        <v>1.1272846667396001E-2</v>
      </c>
      <c r="P72" s="415" t="str">
        <f t="shared" si="7"/>
        <v>TIPO3</v>
      </c>
      <c r="Q72" s="416" t="str">
        <f t="shared" si="8"/>
        <v>OK</v>
      </c>
    </row>
    <row r="73" spans="2:17" ht="15.75" x14ac:dyDescent="0.25">
      <c r="B73" s="661" t="s">
        <v>2524</v>
      </c>
      <c r="C73" s="404">
        <v>89.6</v>
      </c>
      <c r="D73" s="404">
        <v>24</v>
      </c>
      <c r="E73" s="413">
        <f t="shared" si="13"/>
        <v>625</v>
      </c>
      <c r="F73" s="678">
        <v>1752.29</v>
      </c>
      <c r="G73" s="678">
        <v>1749.6</v>
      </c>
      <c r="H73" s="412">
        <f t="shared" si="10"/>
        <v>2.6900000000000546</v>
      </c>
      <c r="I73" s="412">
        <f t="shared" si="11"/>
        <v>2.0650000000000546</v>
      </c>
      <c r="J73" s="432">
        <v>1747.27</v>
      </c>
      <c r="K73" s="432">
        <v>1744.27</v>
      </c>
      <c r="L73" s="412">
        <f t="shared" si="12"/>
        <v>3</v>
      </c>
      <c r="M73" s="412">
        <f t="shared" ref="M73:M103" si="14">+L73-E73/1000</f>
        <v>2.375</v>
      </c>
      <c r="N73" s="679">
        <f t="shared" ref="N73:N103" si="15">+(G73-K73)/C73</f>
        <v>5.9486607142856335E-2</v>
      </c>
      <c r="O73" s="680">
        <f t="shared" ref="O73:O103" si="16">+(F73-J73)/C73</f>
        <v>5.6026785714285515E-2</v>
      </c>
      <c r="P73" s="415" t="str">
        <f t="shared" ref="P73:P103" si="17">IF(((I73+M73)/2)&gt;0.6,"TIPO3","TIPO2")</f>
        <v>TIPO3</v>
      </c>
      <c r="Q73" s="416" t="str">
        <f t="shared" ref="Q73:Q103" si="18">IF(N73&gt;15%,"ANCLAR","OK")</f>
        <v>OK</v>
      </c>
    </row>
    <row r="74" spans="2:17" ht="15.75" x14ac:dyDescent="0.25">
      <c r="B74" s="662" t="s">
        <v>2525</v>
      </c>
      <c r="C74" s="404">
        <v>74.13</v>
      </c>
      <c r="D74" s="404">
        <v>10</v>
      </c>
      <c r="E74" s="413">
        <f t="shared" si="13"/>
        <v>250</v>
      </c>
      <c r="F74" s="678">
        <v>1747.27</v>
      </c>
      <c r="G74" s="678">
        <v>1745.94</v>
      </c>
      <c r="H74" s="412">
        <f t="shared" si="10"/>
        <v>1.3299999999999272</v>
      </c>
      <c r="I74" s="412">
        <f t="shared" si="11"/>
        <v>1.0799999999999272</v>
      </c>
      <c r="J74" s="432">
        <v>1745.12</v>
      </c>
      <c r="K74" s="432">
        <v>1742.69</v>
      </c>
      <c r="L74" s="412">
        <f t="shared" si="12"/>
        <v>2.4299999999998363</v>
      </c>
      <c r="M74" s="412">
        <f t="shared" si="14"/>
        <v>2.1799999999998363</v>
      </c>
      <c r="N74" s="679">
        <f t="shared" si="15"/>
        <v>4.3841899365978688E-2</v>
      </c>
      <c r="O74" s="680">
        <f t="shared" si="16"/>
        <v>2.9003102657494822E-2</v>
      </c>
      <c r="P74" s="415" t="str">
        <f t="shared" si="17"/>
        <v>TIPO3</v>
      </c>
      <c r="Q74" s="416" t="str">
        <f t="shared" si="18"/>
        <v>OK</v>
      </c>
    </row>
    <row r="75" spans="2:17" ht="15.75" x14ac:dyDescent="0.25">
      <c r="B75" s="658" t="s">
        <v>2526</v>
      </c>
      <c r="C75" s="404">
        <v>57.57</v>
      </c>
      <c r="D75" s="404">
        <v>20</v>
      </c>
      <c r="E75" s="413">
        <f t="shared" si="13"/>
        <v>500</v>
      </c>
      <c r="F75" s="678">
        <v>1745.12</v>
      </c>
      <c r="G75" s="678">
        <v>1742.56</v>
      </c>
      <c r="H75" s="412">
        <f t="shared" si="10"/>
        <v>2.5599999999999454</v>
      </c>
      <c r="I75" s="412">
        <f t="shared" si="11"/>
        <v>2.0599999999999454</v>
      </c>
      <c r="J75" s="432">
        <v>1743.92</v>
      </c>
      <c r="K75" s="432">
        <v>1741.69</v>
      </c>
      <c r="L75" s="412">
        <f t="shared" si="12"/>
        <v>2.2300000000000182</v>
      </c>
      <c r="M75" s="412">
        <f t="shared" si="14"/>
        <v>1.7300000000000182</v>
      </c>
      <c r="N75" s="679">
        <f t="shared" si="15"/>
        <v>1.5112037519539531E-2</v>
      </c>
      <c r="O75" s="680">
        <f t="shared" si="16"/>
        <v>2.0844189682122947E-2</v>
      </c>
      <c r="P75" s="415" t="str">
        <f t="shared" si="17"/>
        <v>TIPO3</v>
      </c>
      <c r="Q75" s="416" t="str">
        <f t="shared" si="18"/>
        <v>OK</v>
      </c>
    </row>
    <row r="76" spans="2:17" ht="15.75" x14ac:dyDescent="0.25">
      <c r="B76" s="663" t="s">
        <v>2527</v>
      </c>
      <c r="C76" s="404">
        <v>64.25</v>
      </c>
      <c r="D76" s="404">
        <v>12</v>
      </c>
      <c r="E76" s="413">
        <f t="shared" si="13"/>
        <v>315</v>
      </c>
      <c r="F76" s="678">
        <v>1743.92</v>
      </c>
      <c r="G76" s="678">
        <v>1742.22</v>
      </c>
      <c r="H76" s="412">
        <f t="shared" si="10"/>
        <v>1.7000000000000455</v>
      </c>
      <c r="I76" s="412">
        <f t="shared" si="11"/>
        <v>1.3850000000000455</v>
      </c>
      <c r="J76" s="432">
        <v>1739.83</v>
      </c>
      <c r="K76" s="432">
        <v>1736.33</v>
      </c>
      <c r="L76" s="412">
        <f t="shared" si="12"/>
        <v>3.5</v>
      </c>
      <c r="M76" s="412">
        <f t="shared" si="14"/>
        <v>3.1850000000000001</v>
      </c>
      <c r="N76" s="679">
        <f t="shared" si="15"/>
        <v>9.1673151750974319E-2</v>
      </c>
      <c r="O76" s="680">
        <f t="shared" si="16"/>
        <v>6.3657587548640399E-2</v>
      </c>
      <c r="P76" s="415" t="str">
        <f t="shared" si="17"/>
        <v>TIPO3</v>
      </c>
      <c r="Q76" s="416" t="str">
        <f t="shared" si="18"/>
        <v>OK</v>
      </c>
    </row>
    <row r="77" spans="2:17" ht="15.75" x14ac:dyDescent="0.25">
      <c r="B77" s="664" t="s">
        <v>2528</v>
      </c>
      <c r="C77" s="404">
        <v>98.81</v>
      </c>
      <c r="D77" s="404">
        <v>27</v>
      </c>
      <c r="E77" s="413">
        <f t="shared" si="13"/>
        <v>710</v>
      </c>
      <c r="F77" s="678">
        <v>1753.68</v>
      </c>
      <c r="G77" s="678">
        <v>1750</v>
      </c>
      <c r="H77" s="412">
        <f t="shared" si="10"/>
        <v>3.6800000000000637</v>
      </c>
      <c r="I77" s="412">
        <f t="shared" si="11"/>
        <v>2.9700000000000637</v>
      </c>
      <c r="J77" s="432">
        <v>1746.16</v>
      </c>
      <c r="K77" s="432">
        <v>1744.16</v>
      </c>
      <c r="L77" s="412">
        <f t="shared" si="12"/>
        <v>2</v>
      </c>
      <c r="M77" s="412">
        <f t="shared" si="14"/>
        <v>1.29</v>
      </c>
      <c r="N77" s="679">
        <f t="shared" si="15"/>
        <v>5.9103329622507014E-2</v>
      </c>
      <c r="O77" s="680">
        <f t="shared" si="16"/>
        <v>7.6105657322133202E-2</v>
      </c>
      <c r="P77" s="415" t="str">
        <f t="shared" si="17"/>
        <v>TIPO3</v>
      </c>
      <c r="Q77" s="416" t="str">
        <f t="shared" si="18"/>
        <v>OK</v>
      </c>
    </row>
    <row r="78" spans="2:17" ht="15.75" x14ac:dyDescent="0.25">
      <c r="B78" s="664" t="s">
        <v>2529</v>
      </c>
      <c r="C78" s="404">
        <v>94.97</v>
      </c>
      <c r="D78" s="404">
        <v>27</v>
      </c>
      <c r="E78" s="413">
        <f t="shared" si="13"/>
        <v>710</v>
      </c>
      <c r="F78" s="678">
        <v>1746.16</v>
      </c>
      <c r="G78" s="678">
        <v>1744.11</v>
      </c>
      <c r="H78" s="412">
        <f t="shared" si="10"/>
        <v>2.0500000000001819</v>
      </c>
      <c r="I78" s="412">
        <f t="shared" si="11"/>
        <v>1.3400000000001819</v>
      </c>
      <c r="J78" s="432">
        <v>1741.42</v>
      </c>
      <c r="K78" s="432">
        <v>1738.42</v>
      </c>
      <c r="L78" s="412">
        <f t="shared" si="12"/>
        <v>3</v>
      </c>
      <c r="M78" s="412">
        <f t="shared" si="14"/>
        <v>2.29</v>
      </c>
      <c r="N78" s="679">
        <f t="shared" si="15"/>
        <v>5.991365694429638E-2</v>
      </c>
      <c r="O78" s="680">
        <f t="shared" si="16"/>
        <v>4.9910498052016521E-2</v>
      </c>
      <c r="P78" s="415" t="str">
        <f t="shared" si="17"/>
        <v>TIPO3</v>
      </c>
      <c r="Q78" s="416" t="str">
        <f t="shared" si="18"/>
        <v>OK</v>
      </c>
    </row>
    <row r="79" spans="2:17" ht="15.75" x14ac:dyDescent="0.25">
      <c r="B79" s="664" t="s">
        <v>2530</v>
      </c>
      <c r="C79" s="404">
        <v>62.65</v>
      </c>
      <c r="D79" s="404">
        <v>27</v>
      </c>
      <c r="E79" s="413">
        <f t="shared" si="13"/>
        <v>710</v>
      </c>
      <c r="F79" s="678">
        <v>1741.42</v>
      </c>
      <c r="G79" s="678">
        <v>1738.42</v>
      </c>
      <c r="H79" s="412">
        <f t="shared" si="10"/>
        <v>3</v>
      </c>
      <c r="I79" s="412">
        <f t="shared" si="11"/>
        <v>2.29</v>
      </c>
      <c r="J79" s="432">
        <v>1737.1</v>
      </c>
      <c r="K79" s="432">
        <v>1735.65</v>
      </c>
      <c r="L79" s="412">
        <f t="shared" si="12"/>
        <v>1.4499999999998181</v>
      </c>
      <c r="M79" s="412">
        <f t="shared" si="14"/>
        <v>0.73999999999981814</v>
      </c>
      <c r="N79" s="679">
        <f t="shared" si="15"/>
        <v>4.4213886671986939E-2</v>
      </c>
      <c r="O79" s="680">
        <f t="shared" si="16"/>
        <v>6.8954509177975479E-2</v>
      </c>
      <c r="P79" s="415" t="str">
        <f t="shared" si="17"/>
        <v>TIPO3</v>
      </c>
      <c r="Q79" s="416" t="str">
        <f t="shared" si="18"/>
        <v>OK</v>
      </c>
    </row>
    <row r="80" spans="2:17" ht="15.75" x14ac:dyDescent="0.25">
      <c r="B80" s="664" t="s">
        <v>2531</v>
      </c>
      <c r="C80" s="404">
        <v>67.19</v>
      </c>
      <c r="D80" s="404">
        <v>30</v>
      </c>
      <c r="E80" s="413">
        <f t="shared" si="13"/>
        <v>786</v>
      </c>
      <c r="F80" s="678">
        <v>1737.1</v>
      </c>
      <c r="G80" s="678">
        <v>1735.6</v>
      </c>
      <c r="H80" s="412">
        <f t="shared" si="10"/>
        <v>1.5</v>
      </c>
      <c r="I80" s="412">
        <f t="shared" si="11"/>
        <v>0.71399999999999997</v>
      </c>
      <c r="J80" s="432">
        <v>1733.2</v>
      </c>
      <c r="K80" s="432">
        <v>1731.7</v>
      </c>
      <c r="L80" s="412">
        <f t="shared" si="12"/>
        <v>1.5</v>
      </c>
      <c r="M80" s="412">
        <f t="shared" si="14"/>
        <v>0.71399999999999997</v>
      </c>
      <c r="N80" s="679">
        <f t="shared" si="15"/>
        <v>5.8044351838069115E-2</v>
      </c>
      <c r="O80" s="680">
        <f t="shared" si="16"/>
        <v>5.8044351838069115E-2</v>
      </c>
      <c r="P80" s="415" t="str">
        <f t="shared" si="17"/>
        <v>TIPO3</v>
      </c>
      <c r="Q80" s="416" t="str">
        <f t="shared" si="18"/>
        <v>OK</v>
      </c>
    </row>
    <row r="81" spans="2:17" ht="15.75" x14ac:dyDescent="0.25">
      <c r="B81" s="664" t="s">
        <v>2532</v>
      </c>
      <c r="C81" s="404">
        <v>21.48</v>
      </c>
      <c r="D81" s="404">
        <v>30</v>
      </c>
      <c r="E81" s="413">
        <f t="shared" si="13"/>
        <v>786</v>
      </c>
      <c r="F81" s="678">
        <v>1733.2</v>
      </c>
      <c r="G81" s="678">
        <v>1730.8</v>
      </c>
      <c r="H81" s="412">
        <f t="shared" si="10"/>
        <v>2.4000000000000909</v>
      </c>
      <c r="I81" s="412">
        <f t="shared" si="11"/>
        <v>1.6140000000000909</v>
      </c>
      <c r="J81" s="432">
        <v>1730.26</v>
      </c>
      <c r="K81" s="432">
        <v>1728.66</v>
      </c>
      <c r="L81" s="412">
        <f t="shared" si="12"/>
        <v>1.5999999999999091</v>
      </c>
      <c r="M81" s="412">
        <f t="shared" si="14"/>
        <v>0.81399999999990902</v>
      </c>
      <c r="N81" s="679">
        <f t="shared" si="15"/>
        <v>9.9627560521409336E-2</v>
      </c>
      <c r="O81" s="680">
        <f t="shared" si="16"/>
        <v>0.13687150837989082</v>
      </c>
      <c r="P81" s="415" t="str">
        <f t="shared" si="17"/>
        <v>TIPO3</v>
      </c>
      <c r="Q81" s="416" t="str">
        <f t="shared" si="18"/>
        <v>OK</v>
      </c>
    </row>
    <row r="82" spans="2:17" ht="15.75" x14ac:dyDescent="0.25">
      <c r="B82" s="664" t="s">
        <v>2533</v>
      </c>
      <c r="C82" s="404">
        <v>17</v>
      </c>
      <c r="D82" s="404">
        <v>30</v>
      </c>
      <c r="E82" s="413">
        <f t="shared" si="13"/>
        <v>786</v>
      </c>
      <c r="F82" s="678">
        <v>1730.26</v>
      </c>
      <c r="G82" s="678">
        <v>1728.19</v>
      </c>
      <c r="H82" s="412">
        <f t="shared" si="10"/>
        <v>2.0699999999999363</v>
      </c>
      <c r="I82" s="412">
        <f t="shared" si="11"/>
        <v>1.2839999999999363</v>
      </c>
      <c r="J82" s="432">
        <v>1729.5</v>
      </c>
      <c r="K82" s="432">
        <v>1727.36</v>
      </c>
      <c r="L82" s="412">
        <f t="shared" si="12"/>
        <v>2.1400000000001</v>
      </c>
      <c r="M82" s="412">
        <f t="shared" si="14"/>
        <v>1.3540000000001</v>
      </c>
      <c r="N82" s="679">
        <f t="shared" si="15"/>
        <v>4.88235294117738E-2</v>
      </c>
      <c r="O82" s="680">
        <f t="shared" si="16"/>
        <v>4.4705882352940644E-2</v>
      </c>
      <c r="P82" s="415" t="str">
        <f t="shared" si="17"/>
        <v>TIPO3</v>
      </c>
      <c r="Q82" s="416" t="str">
        <f t="shared" si="18"/>
        <v>OK</v>
      </c>
    </row>
    <row r="83" spans="2:17" ht="15.75" x14ac:dyDescent="0.25">
      <c r="B83" s="664" t="s">
        <v>2534</v>
      </c>
      <c r="C83" s="404">
        <v>36.799999999999997</v>
      </c>
      <c r="D83" s="404">
        <v>30</v>
      </c>
      <c r="E83" s="413">
        <f t="shared" si="13"/>
        <v>786</v>
      </c>
      <c r="F83" s="678">
        <v>1729.5</v>
      </c>
      <c r="G83" s="678">
        <v>1727.29</v>
      </c>
      <c r="H83" s="412">
        <f t="shared" si="10"/>
        <v>2.2100000000000364</v>
      </c>
      <c r="I83" s="412">
        <f t="shared" si="11"/>
        <v>1.4240000000000363</v>
      </c>
      <c r="J83" s="432">
        <v>1725.91</v>
      </c>
      <c r="K83" s="432">
        <v>1724.31</v>
      </c>
      <c r="L83" s="412">
        <f t="shared" si="12"/>
        <v>1.6000000000001364</v>
      </c>
      <c r="M83" s="412">
        <f t="shared" si="14"/>
        <v>0.81400000000013639</v>
      </c>
      <c r="N83" s="679">
        <f t="shared" si="15"/>
        <v>8.0978260869565721E-2</v>
      </c>
      <c r="O83" s="680">
        <f t="shared" si="16"/>
        <v>9.7554347826084742E-2</v>
      </c>
      <c r="P83" s="415" t="str">
        <f t="shared" si="17"/>
        <v>TIPO3</v>
      </c>
      <c r="Q83" s="416" t="str">
        <f t="shared" si="18"/>
        <v>OK</v>
      </c>
    </row>
    <row r="84" spans="2:17" ht="15.75" x14ac:dyDescent="0.25">
      <c r="B84" s="665" t="s">
        <v>2535</v>
      </c>
      <c r="C84" s="404">
        <v>58.8</v>
      </c>
      <c r="D84" s="404">
        <v>10</v>
      </c>
      <c r="E84" s="413">
        <f t="shared" si="13"/>
        <v>250</v>
      </c>
      <c r="F84" s="678">
        <v>1872</v>
      </c>
      <c r="G84" s="678">
        <v>1870.5</v>
      </c>
      <c r="H84" s="412">
        <f t="shared" si="10"/>
        <v>1.5</v>
      </c>
      <c r="I84" s="412">
        <f t="shared" si="11"/>
        <v>1.25</v>
      </c>
      <c r="J84" s="432">
        <v>1866</v>
      </c>
      <c r="K84" s="432">
        <v>1864.6</v>
      </c>
      <c r="L84" s="412">
        <f t="shared" si="12"/>
        <v>1.4000000000000909</v>
      </c>
      <c r="M84" s="412">
        <f t="shared" si="14"/>
        <v>1.1500000000000909</v>
      </c>
      <c r="N84" s="679">
        <f t="shared" si="15"/>
        <v>0.10034013605442332</v>
      </c>
      <c r="O84" s="680">
        <f t="shared" si="16"/>
        <v>0.10204081632653061</v>
      </c>
      <c r="P84" s="415" t="str">
        <f t="shared" si="17"/>
        <v>TIPO3</v>
      </c>
      <c r="Q84" s="416" t="str">
        <f t="shared" si="18"/>
        <v>OK</v>
      </c>
    </row>
    <row r="85" spans="2:17" ht="15.75" x14ac:dyDescent="0.25">
      <c r="B85" s="665" t="s">
        <v>2536</v>
      </c>
      <c r="C85" s="404">
        <v>16.3</v>
      </c>
      <c r="D85" s="404">
        <v>10</v>
      </c>
      <c r="E85" s="413">
        <f t="shared" si="13"/>
        <v>250</v>
      </c>
      <c r="F85" s="678">
        <v>1866</v>
      </c>
      <c r="G85" s="678">
        <v>1864.55</v>
      </c>
      <c r="H85" s="412">
        <f t="shared" si="10"/>
        <v>1.4500000000000455</v>
      </c>
      <c r="I85" s="412">
        <f t="shared" si="11"/>
        <v>1.2000000000000455</v>
      </c>
      <c r="J85" s="432">
        <v>1864</v>
      </c>
      <c r="K85" s="432">
        <v>1862.6</v>
      </c>
      <c r="L85" s="412">
        <f t="shared" si="12"/>
        <v>1.4000000000000909</v>
      </c>
      <c r="M85" s="412">
        <f t="shared" si="14"/>
        <v>1.1500000000000909</v>
      </c>
      <c r="N85" s="679">
        <f t="shared" si="15"/>
        <v>0.11963190184049358</v>
      </c>
      <c r="O85" s="680">
        <f t="shared" si="16"/>
        <v>0.12269938650306748</v>
      </c>
      <c r="P85" s="415" t="str">
        <f t="shared" si="17"/>
        <v>TIPO3</v>
      </c>
      <c r="Q85" s="416" t="str">
        <f t="shared" si="18"/>
        <v>OK</v>
      </c>
    </row>
    <row r="86" spans="2:17" ht="15.75" x14ac:dyDescent="0.25">
      <c r="B86" s="665" t="s">
        <v>2537</v>
      </c>
      <c r="C86" s="404">
        <v>43.8</v>
      </c>
      <c r="D86" s="404">
        <v>10</v>
      </c>
      <c r="E86" s="413">
        <f t="shared" si="13"/>
        <v>250</v>
      </c>
      <c r="F86" s="678">
        <v>1864</v>
      </c>
      <c r="G86" s="678">
        <v>1862.55</v>
      </c>
      <c r="H86" s="412">
        <f t="shared" si="10"/>
        <v>1.4500000000000455</v>
      </c>
      <c r="I86" s="412">
        <f t="shared" si="11"/>
        <v>1.2000000000000455</v>
      </c>
      <c r="J86" s="432">
        <v>1845.99</v>
      </c>
      <c r="K86" s="432">
        <v>1843.63</v>
      </c>
      <c r="L86" s="412">
        <f t="shared" si="12"/>
        <v>2.3599999999999</v>
      </c>
      <c r="M86" s="412">
        <f t="shared" si="14"/>
        <v>2.1099999999999</v>
      </c>
      <c r="N86" s="679">
        <f t="shared" si="15"/>
        <v>0.43196347031963123</v>
      </c>
      <c r="O86" s="680">
        <f t="shared" si="16"/>
        <v>0.41118721461187197</v>
      </c>
      <c r="P86" s="415" t="str">
        <f t="shared" si="17"/>
        <v>TIPO3</v>
      </c>
      <c r="Q86" s="416" t="str">
        <f t="shared" si="18"/>
        <v>ANCLAR</v>
      </c>
    </row>
    <row r="87" spans="2:17" ht="15.75" x14ac:dyDescent="0.25">
      <c r="B87" s="665" t="s">
        <v>2538</v>
      </c>
      <c r="C87" s="404">
        <v>31.2</v>
      </c>
      <c r="D87" s="404">
        <v>10</v>
      </c>
      <c r="E87" s="413">
        <f t="shared" si="13"/>
        <v>250</v>
      </c>
      <c r="F87" s="678">
        <v>1845.99</v>
      </c>
      <c r="G87" s="678">
        <v>1843.51</v>
      </c>
      <c r="H87" s="412">
        <f t="shared" si="10"/>
        <v>2.4800000000000182</v>
      </c>
      <c r="I87" s="412">
        <f t="shared" si="11"/>
        <v>2.2300000000000182</v>
      </c>
      <c r="J87" s="432">
        <v>1834.58</v>
      </c>
      <c r="K87" s="432">
        <v>1833.09</v>
      </c>
      <c r="L87" s="412">
        <f t="shared" si="12"/>
        <v>1.4900000000000091</v>
      </c>
      <c r="M87" s="412">
        <f t="shared" si="14"/>
        <v>1.2400000000000091</v>
      </c>
      <c r="N87" s="679">
        <f t="shared" si="15"/>
        <v>0.33397435897436134</v>
      </c>
      <c r="O87" s="680">
        <f t="shared" si="16"/>
        <v>0.36570512820513085</v>
      </c>
      <c r="P87" s="415" t="str">
        <f t="shared" si="17"/>
        <v>TIPO3</v>
      </c>
      <c r="Q87" s="416" t="str">
        <f t="shared" si="18"/>
        <v>ANCLAR</v>
      </c>
    </row>
    <row r="88" spans="2:17" ht="15.75" x14ac:dyDescent="0.25">
      <c r="B88" s="665" t="s">
        <v>2539</v>
      </c>
      <c r="C88" s="404">
        <v>52.21</v>
      </c>
      <c r="D88" s="404">
        <v>10</v>
      </c>
      <c r="E88" s="413">
        <f t="shared" si="13"/>
        <v>250</v>
      </c>
      <c r="F88" s="678">
        <v>1834.58</v>
      </c>
      <c r="G88" s="678">
        <v>1833.09</v>
      </c>
      <c r="H88" s="412">
        <f t="shared" si="10"/>
        <v>1.4900000000000091</v>
      </c>
      <c r="I88" s="412">
        <f t="shared" si="11"/>
        <v>1.2400000000000091</v>
      </c>
      <c r="J88" s="432">
        <v>1817.54</v>
      </c>
      <c r="K88" s="432">
        <v>1816.02</v>
      </c>
      <c r="L88" s="412">
        <f t="shared" si="12"/>
        <v>1.5199999999999818</v>
      </c>
      <c r="M88" s="412">
        <f t="shared" si="14"/>
        <v>1.2699999999999818</v>
      </c>
      <c r="N88" s="679">
        <f t="shared" si="15"/>
        <v>0.32694886037157511</v>
      </c>
      <c r="O88" s="680">
        <f t="shared" si="16"/>
        <v>0.3263742578050175</v>
      </c>
      <c r="P88" s="415" t="str">
        <f t="shared" si="17"/>
        <v>TIPO3</v>
      </c>
      <c r="Q88" s="416" t="str">
        <f t="shared" si="18"/>
        <v>ANCLAR</v>
      </c>
    </row>
    <row r="89" spans="2:17" ht="15.75" x14ac:dyDescent="0.25">
      <c r="B89" s="665" t="s">
        <v>2540</v>
      </c>
      <c r="C89" s="404">
        <v>14.05</v>
      </c>
      <c r="D89" s="404">
        <v>10</v>
      </c>
      <c r="E89" s="413">
        <f t="shared" si="13"/>
        <v>250</v>
      </c>
      <c r="F89" s="678">
        <v>1817.54</v>
      </c>
      <c r="G89" s="678">
        <v>1815.84</v>
      </c>
      <c r="H89" s="412">
        <f t="shared" si="10"/>
        <v>1.7000000000000455</v>
      </c>
      <c r="I89" s="412">
        <f t="shared" si="11"/>
        <v>1.4500000000000455</v>
      </c>
      <c r="J89" s="432">
        <v>1812.06</v>
      </c>
      <c r="K89" s="432">
        <v>1810.09</v>
      </c>
      <c r="L89" s="412">
        <f t="shared" si="12"/>
        <v>1.9700000000000273</v>
      </c>
      <c r="M89" s="412">
        <f t="shared" si="14"/>
        <v>1.7200000000000273</v>
      </c>
      <c r="N89" s="679">
        <f t="shared" si="15"/>
        <v>0.40925266903914587</v>
      </c>
      <c r="O89" s="680">
        <f t="shared" si="16"/>
        <v>0.39003558718861336</v>
      </c>
      <c r="P89" s="415" t="str">
        <f t="shared" si="17"/>
        <v>TIPO3</v>
      </c>
      <c r="Q89" s="416" t="str">
        <f t="shared" si="18"/>
        <v>ANCLAR</v>
      </c>
    </row>
    <row r="90" spans="2:17" ht="15.75" x14ac:dyDescent="0.25">
      <c r="B90" s="666" t="s">
        <v>2541</v>
      </c>
      <c r="C90" s="404">
        <v>93</v>
      </c>
      <c r="D90" s="404">
        <v>10</v>
      </c>
      <c r="E90" s="413">
        <f t="shared" si="13"/>
        <v>250</v>
      </c>
      <c r="F90" s="678">
        <v>1783</v>
      </c>
      <c r="G90" s="678">
        <v>1782</v>
      </c>
      <c r="H90" s="412">
        <f t="shared" si="10"/>
        <v>1</v>
      </c>
      <c r="I90" s="412">
        <f t="shared" si="11"/>
        <v>0.75</v>
      </c>
      <c r="J90" s="432">
        <v>1773.98</v>
      </c>
      <c r="K90" s="432">
        <v>1772.18</v>
      </c>
      <c r="L90" s="412">
        <f t="shared" si="12"/>
        <v>1.7999999999999545</v>
      </c>
      <c r="M90" s="412">
        <f t="shared" si="14"/>
        <v>1.5499999999999545</v>
      </c>
      <c r="N90" s="679">
        <f t="shared" si="15"/>
        <v>0.10559139784946169</v>
      </c>
      <c r="O90" s="680">
        <f t="shared" si="16"/>
        <v>9.6989247311827759E-2</v>
      </c>
      <c r="P90" s="415" t="str">
        <f t="shared" si="17"/>
        <v>TIPO3</v>
      </c>
      <c r="Q90" s="416" t="str">
        <f t="shared" si="18"/>
        <v>OK</v>
      </c>
    </row>
    <row r="91" spans="2:17" ht="15.75" x14ac:dyDescent="0.25">
      <c r="B91" s="666" t="s">
        <v>2542</v>
      </c>
      <c r="C91" s="404">
        <v>32</v>
      </c>
      <c r="D91" s="404">
        <v>10</v>
      </c>
      <c r="E91" s="413">
        <f t="shared" si="13"/>
        <v>250</v>
      </c>
      <c r="F91" s="678">
        <v>1773.98</v>
      </c>
      <c r="G91" s="678">
        <v>1772.18</v>
      </c>
      <c r="H91" s="412">
        <f t="shared" si="10"/>
        <v>1.7999999999999545</v>
      </c>
      <c r="I91" s="412">
        <f t="shared" si="11"/>
        <v>1.5499999999999545</v>
      </c>
      <c r="J91" s="432">
        <v>1769.23</v>
      </c>
      <c r="K91" s="432">
        <v>1766.73</v>
      </c>
      <c r="L91" s="412">
        <f t="shared" si="12"/>
        <v>2.5</v>
      </c>
      <c r="M91" s="412">
        <f t="shared" si="14"/>
        <v>2.25</v>
      </c>
      <c r="N91" s="679">
        <f t="shared" si="15"/>
        <v>0.17031250000000142</v>
      </c>
      <c r="O91" s="680">
        <f t="shared" si="16"/>
        <v>0.1484375</v>
      </c>
      <c r="P91" s="415" t="str">
        <f t="shared" si="17"/>
        <v>TIPO3</v>
      </c>
      <c r="Q91" s="416" t="str">
        <f t="shared" si="18"/>
        <v>ANCLAR</v>
      </c>
    </row>
    <row r="92" spans="2:17" ht="15.75" x14ac:dyDescent="0.25">
      <c r="B92" s="666" t="s">
        <v>2543</v>
      </c>
      <c r="C92" s="404">
        <v>7.4</v>
      </c>
      <c r="D92" s="404">
        <v>10</v>
      </c>
      <c r="E92" s="413">
        <f t="shared" si="13"/>
        <v>250</v>
      </c>
      <c r="F92" s="678">
        <v>1769.23</v>
      </c>
      <c r="G92" s="678">
        <v>1766.73</v>
      </c>
      <c r="H92" s="412">
        <f t="shared" si="10"/>
        <v>2.5</v>
      </c>
      <c r="I92" s="412">
        <f t="shared" si="11"/>
        <v>2.25</v>
      </c>
      <c r="J92" s="432">
        <v>1767.79</v>
      </c>
      <c r="K92" s="432">
        <v>1765.99</v>
      </c>
      <c r="L92" s="412">
        <f t="shared" si="12"/>
        <v>1.7999999999999545</v>
      </c>
      <c r="M92" s="412">
        <f t="shared" si="14"/>
        <v>1.5499999999999545</v>
      </c>
      <c r="N92" s="679">
        <f t="shared" si="15"/>
        <v>0.10000000000000123</v>
      </c>
      <c r="O92" s="680">
        <f t="shared" si="16"/>
        <v>0.19459459459460196</v>
      </c>
      <c r="P92" s="415" t="str">
        <f t="shared" si="17"/>
        <v>TIPO3</v>
      </c>
      <c r="Q92" s="416" t="str">
        <f t="shared" si="18"/>
        <v>OK</v>
      </c>
    </row>
    <row r="93" spans="2:17" ht="15.75" x14ac:dyDescent="0.25">
      <c r="B93" s="666" t="s">
        <v>2544</v>
      </c>
      <c r="C93" s="404">
        <v>46.8</v>
      </c>
      <c r="D93" s="404">
        <v>10</v>
      </c>
      <c r="E93" s="413">
        <f t="shared" si="13"/>
        <v>250</v>
      </c>
      <c r="F93" s="678">
        <v>1767.79</v>
      </c>
      <c r="G93" s="678">
        <v>1765.99</v>
      </c>
      <c r="H93" s="412">
        <f t="shared" si="10"/>
        <v>1.7999999999999545</v>
      </c>
      <c r="I93" s="412">
        <f t="shared" si="11"/>
        <v>1.5499999999999545</v>
      </c>
      <c r="J93" s="432">
        <v>1755.53</v>
      </c>
      <c r="K93" s="432">
        <v>1753.93</v>
      </c>
      <c r="L93" s="412">
        <f t="shared" si="12"/>
        <v>1.5999999999999091</v>
      </c>
      <c r="M93" s="412">
        <f t="shared" si="14"/>
        <v>1.3499999999999091</v>
      </c>
      <c r="N93" s="679">
        <f t="shared" si="15"/>
        <v>0.25769230769230655</v>
      </c>
      <c r="O93" s="680">
        <f t="shared" si="16"/>
        <v>0.26196581196581181</v>
      </c>
      <c r="P93" s="415" t="str">
        <f t="shared" si="17"/>
        <v>TIPO3</v>
      </c>
      <c r="Q93" s="416" t="str">
        <f t="shared" si="18"/>
        <v>ANCLAR</v>
      </c>
    </row>
    <row r="94" spans="2:17" ht="15.75" x14ac:dyDescent="0.25">
      <c r="B94" s="666" t="s">
        <v>2545</v>
      </c>
      <c r="C94" s="404">
        <v>17</v>
      </c>
      <c r="D94" s="404">
        <v>10</v>
      </c>
      <c r="E94" s="413">
        <f t="shared" si="13"/>
        <v>250</v>
      </c>
      <c r="F94" s="678">
        <v>1755.53</v>
      </c>
      <c r="G94" s="678">
        <v>1753.93</v>
      </c>
      <c r="H94" s="412">
        <f t="shared" si="10"/>
        <v>1.5999999999999091</v>
      </c>
      <c r="I94" s="412">
        <f t="shared" si="11"/>
        <v>1.3499999999999091</v>
      </c>
      <c r="J94" s="432">
        <v>1752.04</v>
      </c>
      <c r="K94" s="432">
        <v>1750.64</v>
      </c>
      <c r="L94" s="412">
        <f t="shared" si="12"/>
        <v>1.3999999999998636</v>
      </c>
      <c r="M94" s="412">
        <f t="shared" si="14"/>
        <v>1.1499999999998636</v>
      </c>
      <c r="N94" s="679">
        <f t="shared" si="15"/>
        <v>0.19352941176470373</v>
      </c>
      <c r="O94" s="680">
        <f t="shared" si="16"/>
        <v>0.20529411764705935</v>
      </c>
      <c r="P94" s="415" t="str">
        <f t="shared" si="17"/>
        <v>TIPO3</v>
      </c>
      <c r="Q94" s="416" t="str">
        <f t="shared" si="18"/>
        <v>ANCLAR</v>
      </c>
    </row>
    <row r="95" spans="2:17" ht="15.75" x14ac:dyDescent="0.25">
      <c r="B95" s="667" t="s">
        <v>2546</v>
      </c>
      <c r="C95" s="404">
        <v>36.520000000000003</v>
      </c>
      <c r="D95" s="404">
        <v>10</v>
      </c>
      <c r="E95" s="413">
        <f t="shared" si="13"/>
        <v>250</v>
      </c>
      <c r="F95" s="678">
        <v>1752.04</v>
      </c>
      <c r="G95" s="678">
        <v>1750.64</v>
      </c>
      <c r="H95" s="412">
        <f t="shared" si="10"/>
        <v>1.3999999999998636</v>
      </c>
      <c r="I95" s="412">
        <f t="shared" si="11"/>
        <v>1.1499999999998636</v>
      </c>
      <c r="J95" s="432">
        <v>1748.58</v>
      </c>
      <c r="K95" s="432">
        <v>1747.58</v>
      </c>
      <c r="L95" s="412">
        <f t="shared" si="12"/>
        <v>1</v>
      </c>
      <c r="M95" s="412">
        <f t="shared" si="14"/>
        <v>0.75</v>
      </c>
      <c r="N95" s="679">
        <f t="shared" si="15"/>
        <v>8.3789704271636706E-2</v>
      </c>
      <c r="O95" s="680">
        <f t="shared" si="16"/>
        <v>9.4742606790800543E-2</v>
      </c>
      <c r="P95" s="415" t="str">
        <f t="shared" si="17"/>
        <v>TIPO3</v>
      </c>
      <c r="Q95" s="416" t="str">
        <f t="shared" si="18"/>
        <v>OK</v>
      </c>
    </row>
    <row r="96" spans="2:17" ht="15.75" x14ac:dyDescent="0.25">
      <c r="B96" s="668" t="s">
        <v>2547</v>
      </c>
      <c r="C96" s="404">
        <v>35.770000000000003</v>
      </c>
      <c r="D96" s="404">
        <v>10</v>
      </c>
      <c r="E96" s="413">
        <f t="shared" si="13"/>
        <v>250</v>
      </c>
      <c r="F96" s="678">
        <v>1869.22</v>
      </c>
      <c r="G96" s="678">
        <v>1868.02</v>
      </c>
      <c r="H96" s="412">
        <f t="shared" si="10"/>
        <v>1.2000000000000455</v>
      </c>
      <c r="I96" s="412">
        <f t="shared" si="11"/>
        <v>0.95000000000004547</v>
      </c>
      <c r="J96" s="432">
        <v>1866.72</v>
      </c>
      <c r="K96" s="432">
        <v>1865.52</v>
      </c>
      <c r="L96" s="412">
        <f t="shared" si="12"/>
        <v>1.2000000000000455</v>
      </c>
      <c r="M96" s="412">
        <f t="shared" si="14"/>
        <v>0.95000000000004547</v>
      </c>
      <c r="N96" s="679">
        <f t="shared" si="15"/>
        <v>6.9890970086664797E-2</v>
      </c>
      <c r="O96" s="680">
        <f t="shared" si="16"/>
        <v>6.9890970086664797E-2</v>
      </c>
      <c r="P96" s="415" t="str">
        <f t="shared" si="17"/>
        <v>TIPO3</v>
      </c>
      <c r="Q96" s="416" t="str">
        <f t="shared" si="18"/>
        <v>OK</v>
      </c>
    </row>
    <row r="97" spans="2:17" ht="15.75" x14ac:dyDescent="0.25">
      <c r="B97" s="668" t="s">
        <v>2548</v>
      </c>
      <c r="C97" s="404">
        <v>39.14</v>
      </c>
      <c r="D97" s="404">
        <v>10</v>
      </c>
      <c r="E97" s="413">
        <f t="shared" si="13"/>
        <v>250</v>
      </c>
      <c r="F97" s="678">
        <v>1866.72</v>
      </c>
      <c r="G97" s="678">
        <v>1865.52</v>
      </c>
      <c r="H97" s="412">
        <f t="shared" si="10"/>
        <v>1.2000000000000455</v>
      </c>
      <c r="I97" s="412">
        <f t="shared" si="11"/>
        <v>0.95000000000004547</v>
      </c>
      <c r="J97" s="432">
        <v>1866.17</v>
      </c>
      <c r="K97" s="432">
        <v>1864.67</v>
      </c>
      <c r="L97" s="412">
        <f t="shared" si="12"/>
        <v>1.5</v>
      </c>
      <c r="M97" s="412">
        <f t="shared" si="14"/>
        <v>1.25</v>
      </c>
      <c r="N97" s="679">
        <f t="shared" si="15"/>
        <v>2.1716913643329307E-2</v>
      </c>
      <c r="O97" s="680">
        <f t="shared" si="16"/>
        <v>1.4052120592742834E-2</v>
      </c>
      <c r="P97" s="415" t="str">
        <f t="shared" si="17"/>
        <v>TIPO3</v>
      </c>
      <c r="Q97" s="416" t="str">
        <f t="shared" si="18"/>
        <v>OK</v>
      </c>
    </row>
    <row r="98" spans="2:17" ht="15.75" x14ac:dyDescent="0.25">
      <c r="B98" s="668" t="s">
        <v>2549</v>
      </c>
      <c r="C98" s="404">
        <v>14.07</v>
      </c>
      <c r="D98" s="404">
        <v>12</v>
      </c>
      <c r="E98" s="413">
        <f t="shared" si="13"/>
        <v>315</v>
      </c>
      <c r="F98" s="678">
        <v>1866.17</v>
      </c>
      <c r="G98" s="678">
        <v>1864.67</v>
      </c>
      <c r="H98" s="412">
        <f t="shared" si="10"/>
        <v>1.5</v>
      </c>
      <c r="I98" s="412">
        <f t="shared" si="11"/>
        <v>1.1850000000000001</v>
      </c>
      <c r="J98" s="432">
        <v>1864.82</v>
      </c>
      <c r="K98" s="432">
        <v>1863.32</v>
      </c>
      <c r="L98" s="412">
        <f t="shared" si="12"/>
        <v>1.5</v>
      </c>
      <c r="M98" s="412">
        <f t="shared" si="14"/>
        <v>1.1850000000000001</v>
      </c>
      <c r="N98" s="679">
        <f t="shared" si="15"/>
        <v>9.5948827292120564E-2</v>
      </c>
      <c r="O98" s="680">
        <f t="shared" si="16"/>
        <v>9.5948827292120564E-2</v>
      </c>
      <c r="P98" s="415" t="str">
        <f t="shared" si="17"/>
        <v>TIPO3</v>
      </c>
      <c r="Q98" s="416" t="str">
        <f t="shared" si="18"/>
        <v>OK</v>
      </c>
    </row>
    <row r="99" spans="2:17" ht="15.75" x14ac:dyDescent="0.25">
      <c r="B99" s="668" t="s">
        <v>2550</v>
      </c>
      <c r="C99" s="404">
        <v>11.32</v>
      </c>
      <c r="D99" s="404">
        <v>30</v>
      </c>
      <c r="E99" s="413">
        <f t="shared" si="13"/>
        <v>786</v>
      </c>
      <c r="F99" s="678">
        <v>1725.91</v>
      </c>
      <c r="G99" s="678">
        <v>1723.49</v>
      </c>
      <c r="H99" s="412">
        <f t="shared" si="10"/>
        <v>2.4200000000000728</v>
      </c>
      <c r="I99" s="412">
        <f t="shared" si="11"/>
        <v>1.6340000000000727</v>
      </c>
      <c r="J99" s="432">
        <v>1723.76</v>
      </c>
      <c r="K99" s="432">
        <v>1722.47</v>
      </c>
      <c r="L99" s="412">
        <f t="shared" si="12"/>
        <v>1.2899999999999636</v>
      </c>
      <c r="M99" s="412">
        <f t="shared" si="14"/>
        <v>0.50399999999996359</v>
      </c>
      <c r="N99" s="679">
        <f t="shared" si="15"/>
        <v>9.0106007067136201E-2</v>
      </c>
      <c r="O99" s="680">
        <f t="shared" si="16"/>
        <v>0.18992932862191617</v>
      </c>
      <c r="P99" s="415" t="str">
        <f t="shared" si="17"/>
        <v>TIPO3</v>
      </c>
      <c r="Q99" s="416" t="str">
        <f t="shared" si="18"/>
        <v>OK</v>
      </c>
    </row>
    <row r="100" spans="2:17" ht="15.75" x14ac:dyDescent="0.25">
      <c r="B100" s="668" t="s">
        <v>2551</v>
      </c>
      <c r="C100" s="404">
        <v>15</v>
      </c>
      <c r="D100" s="404">
        <v>30</v>
      </c>
      <c r="E100" s="413">
        <f t="shared" si="13"/>
        <v>786</v>
      </c>
      <c r="F100" s="678">
        <v>1723.76</v>
      </c>
      <c r="G100" s="678">
        <v>1721.03</v>
      </c>
      <c r="H100" s="412">
        <f t="shared" si="10"/>
        <v>2.7300000000000182</v>
      </c>
      <c r="I100" s="412">
        <f t="shared" si="11"/>
        <v>1.9440000000000182</v>
      </c>
      <c r="J100" s="432">
        <v>1720.96</v>
      </c>
      <c r="K100" s="432">
        <v>1719.68</v>
      </c>
      <c r="L100" s="412">
        <f t="shared" si="12"/>
        <v>1.2799999999999727</v>
      </c>
      <c r="M100" s="412">
        <f t="shared" si="14"/>
        <v>0.49399999999997268</v>
      </c>
      <c r="N100" s="679">
        <f t="shared" si="15"/>
        <v>8.9999999999993932E-2</v>
      </c>
      <c r="O100" s="680">
        <f t="shared" si="16"/>
        <v>0.18666666666666362</v>
      </c>
      <c r="P100" s="415" t="str">
        <f t="shared" si="17"/>
        <v>TIPO3</v>
      </c>
      <c r="Q100" s="416" t="str">
        <f t="shared" si="18"/>
        <v>OK</v>
      </c>
    </row>
    <row r="101" spans="2:17" ht="15.75" x14ac:dyDescent="0.25">
      <c r="B101" s="668" t="s">
        <v>2552</v>
      </c>
      <c r="C101" s="404">
        <v>15</v>
      </c>
      <c r="D101" s="404">
        <v>30</v>
      </c>
      <c r="E101" s="413">
        <f t="shared" si="13"/>
        <v>786</v>
      </c>
      <c r="F101" s="678">
        <v>1720.96</v>
      </c>
      <c r="G101" s="678">
        <v>1718.24</v>
      </c>
      <c r="H101" s="412">
        <f t="shared" si="10"/>
        <v>2.7200000000000273</v>
      </c>
      <c r="I101" s="412">
        <f t="shared" si="11"/>
        <v>1.9340000000000273</v>
      </c>
      <c r="J101" s="432">
        <v>1718.17</v>
      </c>
      <c r="K101" s="432">
        <v>1716.88</v>
      </c>
      <c r="L101" s="412">
        <f t="shared" si="12"/>
        <v>1.2899999999999636</v>
      </c>
      <c r="M101" s="412">
        <f t="shared" si="14"/>
        <v>0.50399999999996359</v>
      </c>
      <c r="N101" s="679">
        <f t="shared" si="15"/>
        <v>9.0666666666659998E-2</v>
      </c>
      <c r="O101" s="680">
        <f t="shared" si="16"/>
        <v>0.18599999999999758</v>
      </c>
      <c r="P101" s="415" t="str">
        <f t="shared" si="17"/>
        <v>TIPO3</v>
      </c>
      <c r="Q101" s="416" t="str">
        <f t="shared" si="18"/>
        <v>OK</v>
      </c>
    </row>
    <row r="102" spans="2:17" ht="15.75" x14ac:dyDescent="0.25">
      <c r="B102" s="668" t="s">
        <v>2553</v>
      </c>
      <c r="C102" s="404">
        <v>15</v>
      </c>
      <c r="D102" s="404">
        <v>30</v>
      </c>
      <c r="E102" s="413">
        <f t="shared" si="13"/>
        <v>786</v>
      </c>
      <c r="F102" s="678">
        <v>1718.17</v>
      </c>
      <c r="G102" s="678">
        <v>1715.39</v>
      </c>
      <c r="H102" s="412">
        <f t="shared" si="10"/>
        <v>2.7799999999999727</v>
      </c>
      <c r="I102" s="412">
        <f t="shared" si="11"/>
        <v>1.9939999999999727</v>
      </c>
      <c r="J102" s="432">
        <v>1715.3757000000001</v>
      </c>
      <c r="K102" s="432">
        <v>1714.04</v>
      </c>
      <c r="L102" s="412">
        <f t="shared" si="12"/>
        <v>1.335700000000088</v>
      </c>
      <c r="M102" s="412">
        <f t="shared" si="14"/>
        <v>0.54970000000008801</v>
      </c>
      <c r="N102" s="679">
        <f t="shared" si="15"/>
        <v>9.00000000000091E-2</v>
      </c>
      <c r="O102" s="680">
        <f t="shared" si="16"/>
        <v>0.18628666666666807</v>
      </c>
      <c r="P102" s="415" t="str">
        <f t="shared" si="17"/>
        <v>TIPO3</v>
      </c>
      <c r="Q102" s="416" t="str">
        <f t="shared" si="18"/>
        <v>OK</v>
      </c>
    </row>
    <row r="103" spans="2:17" ht="15.75" x14ac:dyDescent="0.25">
      <c r="B103" s="668" t="s">
        <v>2554</v>
      </c>
      <c r="C103" s="404">
        <v>15</v>
      </c>
      <c r="D103" s="404">
        <v>30</v>
      </c>
      <c r="E103" s="413">
        <f t="shared" si="13"/>
        <v>786</v>
      </c>
      <c r="F103" s="678">
        <v>1715.3757000000001</v>
      </c>
      <c r="G103" s="678">
        <v>1713.32</v>
      </c>
      <c r="H103" s="412">
        <f t="shared" si="10"/>
        <v>2.0557000000001153</v>
      </c>
      <c r="I103" s="412">
        <f t="shared" si="11"/>
        <v>1.2697000000001153</v>
      </c>
      <c r="J103" s="432">
        <v>1712.7560000000001</v>
      </c>
      <c r="K103" s="432">
        <v>1711.97</v>
      </c>
      <c r="L103" s="412">
        <f t="shared" si="12"/>
        <v>0.78600000000005821</v>
      </c>
      <c r="M103" s="412">
        <f t="shared" si="14"/>
        <v>5.8175686490358203E-14</v>
      </c>
      <c r="N103" s="679">
        <f t="shared" si="15"/>
        <v>8.9999999999993932E-2</v>
      </c>
      <c r="O103" s="680">
        <f t="shared" si="16"/>
        <v>0.17464666666666442</v>
      </c>
      <c r="P103" s="415" t="str">
        <f t="shared" si="17"/>
        <v>TIPO3</v>
      </c>
      <c r="Q103" s="416" t="str">
        <f t="shared" si="18"/>
        <v>OK</v>
      </c>
    </row>
    <row r="120" spans="7:9" x14ac:dyDescent="0.25">
      <c r="G120" s="1913" t="s">
        <v>2555</v>
      </c>
      <c r="H120" s="1913"/>
      <c r="I120" s="1913"/>
    </row>
    <row r="121" spans="7:9" x14ac:dyDescent="0.25">
      <c r="G121" s="1913"/>
      <c r="H121" s="1913"/>
      <c r="I121" s="1913"/>
    </row>
    <row r="122" spans="7:9" x14ac:dyDescent="0.25">
      <c r="G122" s="1913"/>
      <c r="H122" s="1913"/>
      <c r="I122" s="1913"/>
    </row>
    <row r="123" spans="7:9" x14ac:dyDescent="0.25">
      <c r="G123" s="1914" t="s">
        <v>2284</v>
      </c>
      <c r="H123" s="1914" t="s">
        <v>2556</v>
      </c>
      <c r="I123" s="1914" t="s">
        <v>2557</v>
      </c>
    </row>
    <row r="124" spans="7:9" x14ac:dyDescent="0.25">
      <c r="G124" s="1914"/>
      <c r="H124" s="1914"/>
      <c r="I124" s="1914"/>
    </row>
    <row r="125" spans="7:9" x14ac:dyDescent="0.25">
      <c r="G125" s="669">
        <v>8</v>
      </c>
      <c r="H125" s="403">
        <v>7.165</v>
      </c>
      <c r="I125" s="403">
        <v>200</v>
      </c>
    </row>
    <row r="126" spans="7:9" x14ac:dyDescent="0.25">
      <c r="G126" s="670">
        <v>10</v>
      </c>
      <c r="H126" s="671">
        <v>8.9369999999999994</v>
      </c>
      <c r="I126" s="672">
        <v>250</v>
      </c>
    </row>
    <row r="127" spans="7:9" x14ac:dyDescent="0.25">
      <c r="G127" s="670">
        <v>12</v>
      </c>
      <c r="H127" s="671">
        <v>11.180999999999999</v>
      </c>
      <c r="I127" s="672">
        <v>315</v>
      </c>
    </row>
    <row r="128" spans="7:9" x14ac:dyDescent="0.25">
      <c r="G128" s="672">
        <v>14</v>
      </c>
      <c r="H128" s="672">
        <v>12.7165</v>
      </c>
      <c r="I128" s="672">
        <v>355</v>
      </c>
    </row>
    <row r="129" spans="7:9" x14ac:dyDescent="0.25">
      <c r="G129" s="670">
        <v>16</v>
      </c>
      <c r="H129" s="671">
        <v>14.252000000000001</v>
      </c>
      <c r="I129" s="672">
        <v>400</v>
      </c>
    </row>
    <row r="130" spans="7:9" x14ac:dyDescent="0.25">
      <c r="G130" s="670">
        <v>18</v>
      </c>
      <c r="H130" s="671">
        <v>16.023</v>
      </c>
      <c r="I130" s="672">
        <v>450</v>
      </c>
    </row>
    <row r="131" spans="7:9" x14ac:dyDescent="0.25">
      <c r="G131" s="670">
        <v>20</v>
      </c>
      <c r="H131" s="671">
        <v>17.795000000000002</v>
      </c>
      <c r="I131" s="672">
        <v>500</v>
      </c>
    </row>
    <row r="132" spans="7:9" x14ac:dyDescent="0.25">
      <c r="G132" s="670">
        <v>24</v>
      </c>
      <c r="H132" s="671">
        <v>23.43</v>
      </c>
      <c r="I132" s="672">
        <v>625</v>
      </c>
    </row>
    <row r="133" spans="7:9" x14ac:dyDescent="0.25">
      <c r="G133" s="670">
        <v>27</v>
      </c>
      <c r="H133" s="671">
        <v>26.417999999999999</v>
      </c>
      <c r="I133" s="672">
        <v>710</v>
      </c>
    </row>
    <row r="134" spans="7:9" x14ac:dyDescent="0.25">
      <c r="G134" s="670">
        <v>30</v>
      </c>
      <c r="H134" s="671">
        <v>29.41</v>
      </c>
      <c r="I134" s="672">
        <v>786</v>
      </c>
    </row>
    <row r="135" spans="7:9" x14ac:dyDescent="0.25">
      <c r="G135" s="670">
        <v>33</v>
      </c>
      <c r="H135" s="671">
        <v>32.405000000000001</v>
      </c>
      <c r="I135" s="672">
        <v>860</v>
      </c>
    </row>
    <row r="136" spans="7:9" x14ac:dyDescent="0.25">
      <c r="G136" s="670">
        <v>36</v>
      </c>
      <c r="H136" s="671">
        <v>35.395000000000003</v>
      </c>
      <c r="I136" s="672">
        <v>950</v>
      </c>
    </row>
    <row r="137" spans="7:9" x14ac:dyDescent="0.25">
      <c r="G137" s="670">
        <v>39</v>
      </c>
      <c r="H137" s="671">
        <v>38.384999999999998</v>
      </c>
      <c r="I137" s="672">
        <v>1025</v>
      </c>
    </row>
    <row r="138" spans="7:9" x14ac:dyDescent="0.25">
      <c r="G138" s="670">
        <v>42</v>
      </c>
      <c r="H138" s="673">
        <v>43.070999999999998</v>
      </c>
      <c r="I138" s="672">
        <v>1101</v>
      </c>
    </row>
  </sheetData>
  <mergeCells count="34">
    <mergeCell ref="A1:Q2"/>
    <mergeCell ref="X2:Y2"/>
    <mergeCell ref="A3:Q4"/>
    <mergeCell ref="A5:A7"/>
    <mergeCell ref="B5:B7"/>
    <mergeCell ref="C5:C7"/>
    <mergeCell ref="D5:D7"/>
    <mergeCell ref="E5:E7"/>
    <mergeCell ref="F5:I5"/>
    <mergeCell ref="Q5:Q7"/>
    <mergeCell ref="P5:P7"/>
    <mergeCell ref="J5:M5"/>
    <mergeCell ref="N5:N7"/>
    <mergeCell ref="O5:O7"/>
    <mergeCell ref="F6:G6"/>
    <mergeCell ref="H6:H7"/>
    <mergeCell ref="I6:I7"/>
    <mergeCell ref="J6:K6"/>
    <mergeCell ref="L6:L7"/>
    <mergeCell ref="M6:M7"/>
    <mergeCell ref="R8:R10"/>
    <mergeCell ref="A13:A14"/>
    <mergeCell ref="A15:A16"/>
    <mergeCell ref="A23:A24"/>
    <mergeCell ref="A21:A22"/>
    <mergeCell ref="A8:A10"/>
    <mergeCell ref="G120:I122"/>
    <mergeCell ref="G123:G124"/>
    <mergeCell ref="H123:H124"/>
    <mergeCell ref="I123:I124"/>
    <mergeCell ref="A25:A26"/>
    <mergeCell ref="A28:A36"/>
    <mergeCell ref="A37:A38"/>
    <mergeCell ref="A40:A4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view="pageBreakPreview" topLeftCell="A23" zoomScale="90" zoomScaleSheetLayoutView="90" workbookViewId="0">
      <selection activeCell="F30" sqref="F30"/>
    </sheetView>
  </sheetViews>
  <sheetFormatPr baseColWidth="10" defaultRowHeight="12.75" x14ac:dyDescent="0.2"/>
  <cols>
    <col min="1" max="1" width="46.28515625" style="474" bestFit="1" customWidth="1"/>
    <col min="2" max="2" width="11.140625" style="474" bestFit="1" customWidth="1"/>
    <col min="3" max="3" width="11" style="474" bestFit="1" customWidth="1"/>
    <col min="4" max="16384" width="11.42578125" style="474"/>
  </cols>
  <sheetData>
    <row r="1" spans="1:6" ht="15" x14ac:dyDescent="0.25">
      <c r="A1" s="1945" t="s">
        <v>2082</v>
      </c>
      <c r="B1" s="1945"/>
      <c r="C1" s="1945"/>
      <c r="D1" s="473"/>
      <c r="E1" s="473"/>
      <c r="F1" s="473"/>
    </row>
    <row r="2" spans="1:6" x14ac:dyDescent="0.2">
      <c r="A2" s="475"/>
      <c r="B2" s="476"/>
      <c r="C2" s="476"/>
      <c r="D2" s="476"/>
      <c r="E2" s="476"/>
      <c r="F2" s="476"/>
    </row>
    <row r="3" spans="1:6" ht="15" x14ac:dyDescent="0.25">
      <c r="A3" s="1945" t="s">
        <v>2425</v>
      </c>
      <c r="B3" s="1945"/>
      <c r="C3" s="1945"/>
      <c r="D3" s="473"/>
      <c r="E3" s="473"/>
      <c r="F3" s="473"/>
    </row>
    <row r="4" spans="1:6" ht="13.5" thickBot="1" x14ac:dyDescent="0.25">
      <c r="A4" s="477"/>
      <c r="B4" s="477"/>
      <c r="C4" s="477"/>
      <c r="D4" s="478"/>
      <c r="E4" s="478"/>
      <c r="F4" s="478"/>
    </row>
    <row r="5" spans="1:6" ht="13.5" hidden="1" thickBot="1" x14ac:dyDescent="0.25">
      <c r="A5" s="1946"/>
      <c r="B5" s="1946"/>
      <c r="C5" s="1946"/>
      <c r="D5" s="477"/>
      <c r="E5" s="477"/>
      <c r="F5" s="477"/>
    </row>
    <row r="6" spans="1:6" ht="13.5" hidden="1" thickBot="1" x14ac:dyDescent="0.25"/>
    <row r="7" spans="1:6" ht="13.5" hidden="1" thickBot="1" x14ac:dyDescent="0.25">
      <c r="A7" s="477"/>
      <c r="B7" s="477"/>
      <c r="C7" s="477"/>
      <c r="D7" s="477"/>
      <c r="E7" s="477"/>
      <c r="F7" s="477"/>
    </row>
    <row r="8" spans="1:6" ht="13.5" hidden="1" thickBot="1" x14ac:dyDescent="0.25">
      <c r="A8" s="479"/>
      <c r="B8" s="480" t="s">
        <v>2426</v>
      </c>
      <c r="C8" s="481" t="s">
        <v>2427</v>
      </c>
      <c r="D8" s="477"/>
      <c r="E8" s="477"/>
      <c r="F8" s="477"/>
    </row>
    <row r="9" spans="1:6" ht="13.5" hidden="1" thickBot="1" x14ac:dyDescent="0.25">
      <c r="A9" s="482" t="s">
        <v>2428</v>
      </c>
      <c r="B9" s="483">
        <v>566700</v>
      </c>
      <c r="C9" s="484">
        <f>+B9/30</f>
        <v>18890</v>
      </c>
      <c r="D9" s="477"/>
      <c r="E9" s="477"/>
      <c r="F9" s="477"/>
    </row>
    <row r="10" spans="1:6" ht="13.5" hidden="1" thickBot="1" x14ac:dyDescent="0.25">
      <c r="A10" s="485" t="s">
        <v>2429</v>
      </c>
      <c r="B10" s="486">
        <v>67800</v>
      </c>
      <c r="C10" s="487">
        <f>+B10/30</f>
        <v>2260</v>
      </c>
      <c r="D10" s="477"/>
      <c r="E10" s="477"/>
      <c r="F10" s="477"/>
    </row>
    <row r="11" spans="1:6" x14ac:dyDescent="0.2">
      <c r="A11" s="1947" t="s">
        <v>2430</v>
      </c>
      <c r="B11" s="1948"/>
      <c r="C11" s="1949"/>
      <c r="D11" s="477"/>
      <c r="E11" s="488"/>
      <c r="F11" s="477"/>
    </row>
    <row r="12" spans="1:6" ht="13.5" thickBot="1" x14ac:dyDescent="0.25">
      <c r="A12" s="1950"/>
      <c r="B12" s="1951"/>
      <c r="C12" s="1952"/>
      <c r="D12" s="477"/>
      <c r="E12" s="477"/>
      <c r="F12" s="477"/>
    </row>
    <row r="13" spans="1:6" x14ac:dyDescent="0.2">
      <c r="A13" s="1953" t="s">
        <v>2431</v>
      </c>
      <c r="B13" s="489"/>
      <c r="C13" s="1955" t="s">
        <v>2432</v>
      </c>
      <c r="D13" s="477"/>
      <c r="E13" s="477"/>
      <c r="F13" s="477"/>
    </row>
    <row r="14" spans="1:6" x14ac:dyDescent="0.2">
      <c r="A14" s="1954"/>
      <c r="B14" s="490"/>
      <c r="C14" s="1956"/>
      <c r="D14" s="477"/>
      <c r="E14" s="477"/>
      <c r="F14" s="477"/>
    </row>
    <row r="15" spans="1:6" x14ac:dyDescent="0.2">
      <c r="A15" s="491" t="s">
        <v>2433</v>
      </c>
      <c r="B15" s="492" t="s">
        <v>504</v>
      </c>
      <c r="C15" s="493">
        <v>1</v>
      </c>
      <c r="D15" s="477"/>
      <c r="E15" s="477"/>
      <c r="F15" s="477"/>
    </row>
    <row r="16" spans="1:6" x14ac:dyDescent="0.2">
      <c r="A16" s="494" t="s">
        <v>2434</v>
      </c>
      <c r="B16" s="495" t="s">
        <v>504</v>
      </c>
      <c r="C16" s="496">
        <v>8.3299999999999999E-2</v>
      </c>
      <c r="D16" s="477"/>
      <c r="E16" s="477"/>
      <c r="F16" s="477"/>
    </row>
    <row r="17" spans="1:3" x14ac:dyDescent="0.2">
      <c r="A17" s="494" t="s">
        <v>2435</v>
      </c>
      <c r="B17" s="495" t="s">
        <v>504</v>
      </c>
      <c r="C17" s="496">
        <v>0.01</v>
      </c>
    </row>
    <row r="18" spans="1:3" x14ac:dyDescent="0.2">
      <c r="A18" s="494" t="s">
        <v>2436</v>
      </c>
      <c r="B18" s="495" t="s">
        <v>504</v>
      </c>
      <c r="C18" s="496">
        <v>4.1700000000000001E-2</v>
      </c>
    </row>
    <row r="19" spans="1:3" x14ac:dyDescent="0.2">
      <c r="A19" s="494" t="s">
        <v>2437</v>
      </c>
      <c r="B19" s="495" t="s">
        <v>504</v>
      </c>
      <c r="C19" s="496">
        <v>8.3299999999999999E-2</v>
      </c>
    </row>
    <row r="20" spans="1:3" x14ac:dyDescent="0.2">
      <c r="A20" s="497" t="s">
        <v>2438</v>
      </c>
      <c r="B20" s="495"/>
      <c r="C20" s="496"/>
    </row>
    <row r="21" spans="1:3" x14ac:dyDescent="0.2">
      <c r="A21" s="498" t="s">
        <v>2439</v>
      </c>
      <c r="B21" s="495"/>
      <c r="C21" s="499">
        <v>8.5000000000000006E-2</v>
      </c>
    </row>
    <row r="22" spans="1:3" x14ac:dyDescent="0.2">
      <c r="A22" s="498" t="s">
        <v>2440</v>
      </c>
      <c r="B22" s="495"/>
      <c r="C22" s="499">
        <v>6.9400000000000003E-2</v>
      </c>
    </row>
    <row r="23" spans="1:3" x14ac:dyDescent="0.2">
      <c r="A23" s="498" t="s">
        <v>2441</v>
      </c>
      <c r="B23" s="495"/>
      <c r="C23" s="499">
        <v>0.12</v>
      </c>
    </row>
    <row r="24" spans="1:3" x14ac:dyDescent="0.2">
      <c r="A24" s="494" t="s">
        <v>2442</v>
      </c>
      <c r="B24" s="495"/>
      <c r="C24" s="496">
        <v>0.04</v>
      </c>
    </row>
    <row r="25" spans="1:3" x14ac:dyDescent="0.2">
      <c r="A25" s="494" t="s">
        <v>2443</v>
      </c>
      <c r="B25" s="495"/>
      <c r="C25" s="496">
        <v>0.03</v>
      </c>
    </row>
    <row r="26" spans="1:3" x14ac:dyDescent="0.2">
      <c r="A26" s="494" t="s">
        <v>2444</v>
      </c>
      <c r="B26" s="495"/>
      <c r="C26" s="496">
        <v>0.02</v>
      </c>
    </row>
    <row r="27" spans="1:3" x14ac:dyDescent="0.2">
      <c r="A27" s="494" t="s">
        <v>2445</v>
      </c>
      <c r="B27" s="495"/>
      <c r="C27" s="496">
        <v>2.5000000000000001E-2</v>
      </c>
    </row>
    <row r="28" spans="1:3" x14ac:dyDescent="0.2">
      <c r="A28" s="494" t="s">
        <v>2446</v>
      </c>
      <c r="B28" s="495"/>
      <c r="C28" s="496">
        <v>0.11700000000000001</v>
      </c>
    </row>
    <row r="29" spans="1:3" x14ac:dyDescent="0.2">
      <c r="A29" s="500" t="s">
        <v>2447</v>
      </c>
      <c r="B29" s="501"/>
      <c r="C29" s="502">
        <v>1.6999999999999999E-3</v>
      </c>
    </row>
    <row r="30" spans="1:3" x14ac:dyDescent="0.2">
      <c r="A30" s="494"/>
      <c r="B30" s="495"/>
      <c r="C30" s="496"/>
    </row>
    <row r="31" spans="1:3" x14ac:dyDescent="0.2">
      <c r="A31" s="503" t="s">
        <v>2448</v>
      </c>
      <c r="B31" s="501"/>
      <c r="C31" s="504">
        <v>1.7263999999999997</v>
      </c>
    </row>
    <row r="32" spans="1:3" x14ac:dyDescent="0.2">
      <c r="A32" s="505"/>
      <c r="B32" s="506"/>
      <c r="C32" s="507"/>
    </row>
    <row r="33" spans="1:3" x14ac:dyDescent="0.2">
      <c r="A33" s="505" t="s">
        <v>2449</v>
      </c>
      <c r="B33" s="506"/>
      <c r="C33" s="508">
        <v>1.2432432432432432</v>
      </c>
    </row>
    <row r="34" spans="1:3" x14ac:dyDescent="0.2">
      <c r="A34" s="505" t="s">
        <v>2450</v>
      </c>
      <c r="B34" s="506"/>
      <c r="C34" s="507"/>
    </row>
    <row r="35" spans="1:3" x14ac:dyDescent="0.2">
      <c r="A35" s="505" t="s">
        <v>2451</v>
      </c>
      <c r="B35" s="509">
        <v>92</v>
      </c>
      <c r="C35" s="510"/>
    </row>
    <row r="36" spans="1:3" x14ac:dyDescent="0.2">
      <c r="A36" s="505" t="s">
        <v>2452</v>
      </c>
      <c r="B36" s="509">
        <v>18</v>
      </c>
      <c r="C36" s="510"/>
    </row>
    <row r="37" spans="1:3" x14ac:dyDescent="0.2">
      <c r="A37" s="505" t="s">
        <v>2453</v>
      </c>
      <c r="B37" s="509">
        <v>74</v>
      </c>
      <c r="C37" s="510"/>
    </row>
    <row r="38" spans="1:3" x14ac:dyDescent="0.2">
      <c r="A38" s="505"/>
      <c r="B38" s="511"/>
      <c r="C38" s="510"/>
    </row>
    <row r="39" spans="1:3" x14ac:dyDescent="0.2">
      <c r="A39" s="512" t="s">
        <v>2448</v>
      </c>
      <c r="B39" s="511"/>
      <c r="C39" s="513">
        <v>1.7263999999999997</v>
      </c>
    </row>
    <row r="40" spans="1:3" x14ac:dyDescent="0.2">
      <c r="A40" s="512" t="s">
        <v>2454</v>
      </c>
      <c r="B40" s="511"/>
      <c r="C40" s="514">
        <v>0.73</v>
      </c>
    </row>
    <row r="41" spans="1:3" ht="13.5" thickBot="1" x14ac:dyDescent="0.25">
      <c r="A41" s="515"/>
      <c r="B41" s="516"/>
      <c r="C41" s="517"/>
    </row>
    <row r="52" spans="7:21" ht="12.75" customHeight="1" x14ac:dyDescent="0.2">
      <c r="G52" s="1940" t="s">
        <v>2701</v>
      </c>
      <c r="H52" s="1940"/>
      <c r="I52" s="1940"/>
      <c r="J52" s="1940"/>
      <c r="K52" s="1940"/>
      <c r="L52" s="1940"/>
      <c r="M52" s="1940"/>
    </row>
    <row r="53" spans="7:21" x14ac:dyDescent="0.2">
      <c r="G53" s="1940"/>
      <c r="H53" s="1940"/>
      <c r="I53" s="1940"/>
      <c r="J53" s="1940"/>
      <c r="K53" s="1940"/>
      <c r="L53" s="1940"/>
      <c r="M53" s="1940"/>
    </row>
    <row r="54" spans="7:21" x14ac:dyDescent="0.2">
      <c r="G54" s="1940"/>
      <c r="H54" s="1940"/>
      <c r="I54" s="1940"/>
      <c r="J54" s="1940"/>
      <c r="K54" s="1940"/>
      <c r="L54" s="1940"/>
      <c r="M54" s="1940"/>
    </row>
    <row r="55" spans="7:21" ht="15" x14ac:dyDescent="0.25">
      <c r="G55" s="1941" t="s">
        <v>2688</v>
      </c>
      <c r="H55" s="1942"/>
      <c r="I55" s="756" t="s">
        <v>2690</v>
      </c>
      <c r="J55" s="756" t="s">
        <v>2692</v>
      </c>
      <c r="K55" s="756" t="s">
        <v>2694</v>
      </c>
      <c r="L55" s="1943" t="s">
        <v>2696</v>
      </c>
      <c r="M55" s="1938" t="s">
        <v>2708</v>
      </c>
    </row>
    <row r="56" spans="7:21" ht="15" x14ac:dyDescent="0.25">
      <c r="G56" s="760" t="s">
        <v>2689</v>
      </c>
      <c r="H56" s="760" t="s">
        <v>2376</v>
      </c>
      <c r="I56" s="760" t="s">
        <v>2691</v>
      </c>
      <c r="J56" s="763" t="s">
        <v>2693</v>
      </c>
      <c r="K56" s="760" t="s">
        <v>2695</v>
      </c>
      <c r="L56" s="1944"/>
      <c r="M56" s="1939"/>
    </row>
    <row r="57" spans="7:21" ht="15" x14ac:dyDescent="0.25">
      <c r="G57" s="778" t="s">
        <v>2702</v>
      </c>
      <c r="H57" s="778" t="s">
        <v>2703</v>
      </c>
      <c r="I57" s="546">
        <v>23</v>
      </c>
      <c r="J57" s="546">
        <v>22.39</v>
      </c>
      <c r="K57" s="546">
        <v>18</v>
      </c>
      <c r="L57" s="780">
        <f>+I57/6</f>
        <v>3.8333333333333335</v>
      </c>
      <c r="M57" s="546" t="s">
        <v>2709</v>
      </c>
    </row>
    <row r="58" spans="7:21" ht="15" x14ac:dyDescent="0.25">
      <c r="G58" s="778" t="s">
        <v>2704</v>
      </c>
      <c r="H58" s="778" t="s">
        <v>2705</v>
      </c>
      <c r="I58" s="546">
        <v>6</v>
      </c>
      <c r="J58" s="546">
        <v>27.5</v>
      </c>
      <c r="K58" s="546">
        <v>36</v>
      </c>
      <c r="L58" s="761">
        <f>+I58/6</f>
        <v>1</v>
      </c>
      <c r="M58" s="546" t="s">
        <v>2710</v>
      </c>
    </row>
    <row r="59" spans="7:21" ht="15" x14ac:dyDescent="0.25">
      <c r="G59" s="747" t="s">
        <v>2706</v>
      </c>
      <c r="H59" s="747" t="s">
        <v>2707</v>
      </c>
      <c r="I59" s="773">
        <v>20.5</v>
      </c>
      <c r="J59" s="773">
        <v>25.37</v>
      </c>
      <c r="K59" s="773">
        <v>36</v>
      </c>
      <c r="L59" s="745">
        <f>+I59/6</f>
        <v>3.4166666666666665</v>
      </c>
      <c r="M59" s="546" t="s">
        <v>2710</v>
      </c>
      <c r="O59" s="753"/>
      <c r="P59" s="753"/>
      <c r="Q59" s="743"/>
      <c r="R59" s="743"/>
      <c r="S59" s="743"/>
      <c r="T59" s="743"/>
    </row>
    <row r="60" spans="7:21" ht="15" x14ac:dyDescent="0.25">
      <c r="G60" s="747"/>
      <c r="H60" s="747"/>
      <c r="I60" s="773"/>
      <c r="J60" s="773"/>
      <c r="K60" s="773"/>
      <c r="L60" s="747"/>
      <c r="O60" s="753"/>
      <c r="P60" s="753"/>
      <c r="Q60" s="753"/>
      <c r="R60" s="743"/>
      <c r="S60" s="743"/>
      <c r="T60" s="743"/>
      <c r="U60" s="743"/>
    </row>
    <row r="61" spans="7:21" ht="15" x14ac:dyDescent="0.25">
      <c r="G61" s="747"/>
      <c r="H61" s="747"/>
      <c r="I61" s="773"/>
      <c r="J61" s="773"/>
      <c r="K61" s="773"/>
      <c r="L61" s="747">
        <f>+I61/6</f>
        <v>0</v>
      </c>
      <c r="M61" s="783">
        <f>SUM(M57:M59)</f>
        <v>0</v>
      </c>
      <c r="O61" s="753"/>
      <c r="P61" s="753"/>
      <c r="Q61" s="753"/>
      <c r="R61" s="743"/>
      <c r="S61" s="743"/>
      <c r="T61" s="743"/>
      <c r="U61" s="743"/>
    </row>
    <row r="62" spans="7:21" ht="15" x14ac:dyDescent="0.25">
      <c r="G62" s="753"/>
      <c r="H62" s="753"/>
      <c r="I62" s="743"/>
      <c r="J62" s="743"/>
      <c r="K62" s="743"/>
      <c r="L62" s="743"/>
      <c r="O62" s="753"/>
      <c r="P62" s="753"/>
      <c r="Q62" s="753"/>
      <c r="R62" s="743"/>
      <c r="S62" s="743"/>
      <c r="T62" s="743"/>
      <c r="U62" s="743"/>
    </row>
    <row r="63" spans="7:21" ht="15" x14ac:dyDescent="0.25">
      <c r="G63" s="753"/>
      <c r="H63" s="753"/>
      <c r="I63" s="743"/>
      <c r="J63" s="743"/>
      <c r="K63" s="743"/>
      <c r="L63" s="743"/>
      <c r="O63" s="753"/>
      <c r="P63" s="753"/>
      <c r="Q63" s="753"/>
      <c r="R63" s="743"/>
      <c r="S63" s="743"/>
      <c r="T63" s="743"/>
      <c r="U63" s="743"/>
    </row>
    <row r="64" spans="7:21" ht="15" x14ac:dyDescent="0.25">
      <c r="G64" s="753"/>
      <c r="H64" s="753"/>
      <c r="I64" s="743"/>
      <c r="J64" s="743"/>
      <c r="K64" s="743"/>
      <c r="L64" s="743"/>
      <c r="O64" s="753"/>
      <c r="P64" s="753"/>
      <c r="Q64" s="753"/>
      <c r="R64" s="743"/>
      <c r="S64" s="743"/>
      <c r="T64" s="743"/>
      <c r="U64" s="743"/>
    </row>
    <row r="65" spans="7:21" ht="15" x14ac:dyDescent="0.25">
      <c r="G65" s="753"/>
      <c r="H65" s="753"/>
      <c r="I65" s="743"/>
      <c r="J65" s="743"/>
      <c r="K65" s="743"/>
      <c r="L65" s="743"/>
      <c r="O65" s="753"/>
      <c r="P65" s="753"/>
      <c r="Q65" s="753"/>
      <c r="R65" s="743"/>
      <c r="S65" s="743"/>
      <c r="T65" s="743"/>
      <c r="U65" s="743"/>
    </row>
    <row r="66" spans="7:21" ht="15" x14ac:dyDescent="0.25">
      <c r="G66" s="753" t="s">
        <v>2697</v>
      </c>
      <c r="H66" s="753"/>
      <c r="I66" s="743"/>
      <c r="J66" s="743" t="s">
        <v>2698</v>
      </c>
      <c r="K66" s="743"/>
      <c r="L66" s="743"/>
      <c r="O66" s="753"/>
      <c r="P66" s="753"/>
      <c r="Q66" s="753"/>
      <c r="R66" s="743"/>
      <c r="S66" s="743"/>
      <c r="T66" s="743"/>
      <c r="U66" s="743"/>
    </row>
    <row r="67" spans="7:21" ht="15" x14ac:dyDescent="0.25">
      <c r="G67" s="753"/>
      <c r="H67" s="753"/>
      <c r="I67" s="743"/>
      <c r="J67" s="743"/>
      <c r="K67" s="743"/>
      <c r="L67" s="743"/>
      <c r="O67" s="753"/>
      <c r="P67" s="753"/>
      <c r="Q67" s="753"/>
      <c r="R67" s="743"/>
      <c r="S67" s="743"/>
      <c r="T67" s="743"/>
      <c r="U67" s="743"/>
    </row>
    <row r="68" spans="7:21" ht="15" x14ac:dyDescent="0.25">
      <c r="G68" s="753" t="s">
        <v>2699</v>
      </c>
      <c r="H68" s="753"/>
      <c r="I68" s="743" t="s">
        <v>2700</v>
      </c>
      <c r="J68" s="743"/>
      <c r="K68" s="743"/>
      <c r="L68" s="743"/>
      <c r="O68" s="753"/>
      <c r="P68" s="753"/>
      <c r="Q68" s="753"/>
      <c r="R68" s="743"/>
      <c r="S68" s="743"/>
      <c r="T68" s="743"/>
      <c r="U68" s="743"/>
    </row>
    <row r="69" spans="7:21" ht="15" x14ac:dyDescent="0.25">
      <c r="G69" s="753"/>
      <c r="H69" s="753"/>
      <c r="I69" s="743"/>
      <c r="J69" s="743"/>
      <c r="K69" s="743"/>
      <c r="L69" s="743"/>
      <c r="P69" s="753"/>
      <c r="Q69" s="753"/>
      <c r="R69" s="743"/>
      <c r="S69" s="743"/>
      <c r="T69" s="743"/>
      <c r="U69" s="743"/>
    </row>
    <row r="70" spans="7:21" ht="15" x14ac:dyDescent="0.25">
      <c r="G70" s="753"/>
      <c r="H70" s="753"/>
      <c r="I70" s="743"/>
      <c r="J70" s="743"/>
      <c r="K70" s="743"/>
      <c r="L70" s="743"/>
    </row>
    <row r="71" spans="7:21" ht="15" x14ac:dyDescent="0.25">
      <c r="G71" s="753"/>
      <c r="H71" s="753"/>
      <c r="I71" s="743"/>
      <c r="J71" s="743"/>
      <c r="K71" s="743"/>
      <c r="L71" s="743"/>
    </row>
  </sheetData>
  <mergeCells count="10">
    <mergeCell ref="M55:M56"/>
    <mergeCell ref="G52:M54"/>
    <mergeCell ref="G55:H55"/>
    <mergeCell ref="L55:L56"/>
    <mergeCell ref="A1:C1"/>
    <mergeCell ref="A3:C3"/>
    <mergeCell ref="A5:C5"/>
    <mergeCell ref="A11:C12"/>
    <mergeCell ref="A13:A14"/>
    <mergeCell ref="C13:C14"/>
  </mergeCells>
  <pageMargins left="0.75" right="0.75" top="1" bottom="1" header="0" footer="0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5"/>
  <sheetViews>
    <sheetView topLeftCell="A28" workbookViewId="0">
      <selection activeCell="A35" sqref="A35:E36"/>
    </sheetView>
  </sheetViews>
  <sheetFormatPr baseColWidth="10" defaultRowHeight="12.75" x14ac:dyDescent="0.2"/>
  <cols>
    <col min="1" max="1" width="31.5703125" style="474" bestFit="1" customWidth="1"/>
    <col min="2" max="2" width="8.28515625" style="474" bestFit="1" customWidth="1"/>
    <col min="3" max="3" width="8.85546875" style="474" bestFit="1" customWidth="1"/>
    <col min="4" max="4" width="10.85546875" style="474" bestFit="1" customWidth="1"/>
    <col min="5" max="5" width="16.140625" style="474" bestFit="1" customWidth="1"/>
    <col min="6" max="16384" width="11.42578125" style="474"/>
  </cols>
  <sheetData>
    <row r="1" spans="1:5" ht="15" x14ac:dyDescent="0.25">
      <c r="A1" s="1964" t="s">
        <v>2083</v>
      </c>
      <c r="B1" s="1964"/>
      <c r="C1" s="1964"/>
      <c r="D1" s="1964"/>
      <c r="E1" s="1964"/>
    </row>
    <row r="2" spans="1:5" x14ac:dyDescent="0.2">
      <c r="A2" s="518"/>
      <c r="B2" s="518"/>
      <c r="C2" s="518"/>
      <c r="D2" s="518"/>
      <c r="E2" s="518"/>
    </row>
    <row r="3" spans="1:5" ht="15" x14ac:dyDescent="0.25">
      <c r="A3" s="1964" t="s">
        <v>502</v>
      </c>
      <c r="B3" s="1964"/>
      <c r="C3" s="1964"/>
      <c r="D3" s="1964"/>
      <c r="E3" s="1964"/>
    </row>
    <row r="4" spans="1:5" x14ac:dyDescent="0.2">
      <c r="A4" s="1965"/>
      <c r="B4" s="1965"/>
      <c r="C4" s="1965"/>
      <c r="D4" s="1965"/>
      <c r="E4" s="1965"/>
    </row>
    <row r="5" spans="1:5" x14ac:dyDescent="0.2">
      <c r="A5" s="518"/>
      <c r="B5" s="518"/>
      <c r="C5" s="518"/>
      <c r="D5" s="518"/>
      <c r="E5" s="518"/>
    </row>
    <row r="6" spans="1:5" ht="13.5" thickBot="1" x14ac:dyDescent="0.25"/>
    <row r="7" spans="1:5" x14ac:dyDescent="0.2">
      <c r="A7" s="1966" t="s">
        <v>505</v>
      </c>
      <c r="B7" s="1967"/>
      <c r="C7" s="1967"/>
      <c r="D7" s="1967"/>
      <c r="E7" s="1968"/>
    </row>
    <row r="8" spans="1:5" ht="13.5" thickBot="1" x14ac:dyDescent="0.25">
      <c r="A8" s="1969"/>
      <c r="B8" s="1970"/>
      <c r="C8" s="1970"/>
      <c r="D8" s="1970"/>
      <c r="E8" s="1971"/>
    </row>
    <row r="9" spans="1:5" x14ac:dyDescent="0.2">
      <c r="A9" s="519" t="s">
        <v>906</v>
      </c>
      <c r="B9" s="465" t="s">
        <v>905</v>
      </c>
      <c r="C9" s="523">
        <v>15</v>
      </c>
      <c r="D9" s="524">
        <v>10371</v>
      </c>
      <c r="E9" s="525">
        <f>+C9*D9</f>
        <v>155565</v>
      </c>
    </row>
    <row r="10" spans="1:5" x14ac:dyDescent="0.2">
      <c r="A10" s="519" t="s">
        <v>907</v>
      </c>
      <c r="B10" s="465" t="s">
        <v>905</v>
      </c>
      <c r="C10" s="523">
        <v>15</v>
      </c>
      <c r="D10" s="524">
        <v>16200</v>
      </c>
      <c r="E10" s="525">
        <f>+C10*D10</f>
        <v>243000</v>
      </c>
    </row>
    <row r="11" spans="1:5" x14ac:dyDescent="0.2">
      <c r="A11" s="519" t="s">
        <v>507</v>
      </c>
      <c r="B11" s="465" t="s">
        <v>905</v>
      </c>
      <c r="C11" s="523">
        <v>4</v>
      </c>
      <c r="D11" s="524">
        <v>11200</v>
      </c>
      <c r="E11" s="525">
        <f t="shared" ref="E11:E19" si="0">+C11*D11</f>
        <v>44800</v>
      </c>
    </row>
    <row r="12" spans="1:5" x14ac:dyDescent="0.2">
      <c r="A12" s="519" t="s">
        <v>908</v>
      </c>
      <c r="B12" s="465" t="s">
        <v>905</v>
      </c>
      <c r="C12" s="523">
        <v>4</v>
      </c>
      <c r="D12" s="524">
        <v>28610</v>
      </c>
      <c r="E12" s="525">
        <f t="shared" si="0"/>
        <v>114440</v>
      </c>
    </row>
    <row r="13" spans="1:5" x14ac:dyDescent="0.2">
      <c r="A13" s="519" t="s">
        <v>909</v>
      </c>
      <c r="B13" s="465" t="s">
        <v>905</v>
      </c>
      <c r="C13" s="523">
        <v>2</v>
      </c>
      <c r="D13" s="524">
        <v>34660</v>
      </c>
      <c r="E13" s="525">
        <f t="shared" si="0"/>
        <v>69320</v>
      </c>
    </row>
    <row r="14" spans="1:5" x14ac:dyDescent="0.2">
      <c r="A14" s="519" t="s">
        <v>910</v>
      </c>
      <c r="B14" s="465" t="s">
        <v>905</v>
      </c>
      <c r="C14" s="523">
        <v>25</v>
      </c>
      <c r="D14" s="524">
        <v>1800</v>
      </c>
      <c r="E14" s="525">
        <f t="shared" si="0"/>
        <v>45000</v>
      </c>
    </row>
    <row r="15" spans="1:5" x14ac:dyDescent="0.2">
      <c r="A15" s="519" t="s">
        <v>911</v>
      </c>
      <c r="B15" s="465" t="s">
        <v>905</v>
      </c>
      <c r="C15" s="523">
        <v>9</v>
      </c>
      <c r="D15" s="524">
        <v>137600</v>
      </c>
      <c r="E15" s="525">
        <f t="shared" si="0"/>
        <v>1238400</v>
      </c>
    </row>
    <row r="16" spans="1:5" x14ac:dyDescent="0.2">
      <c r="A16" s="519" t="s">
        <v>923</v>
      </c>
      <c r="B16" s="465" t="s">
        <v>1265</v>
      </c>
      <c r="C16" s="523">
        <v>30</v>
      </c>
      <c r="D16" s="524">
        <v>1100</v>
      </c>
      <c r="E16" s="525">
        <f t="shared" si="0"/>
        <v>33000</v>
      </c>
    </row>
    <row r="17" spans="1:6" x14ac:dyDescent="0.2">
      <c r="A17" s="519" t="s">
        <v>1279</v>
      </c>
      <c r="B17" s="465" t="s">
        <v>904</v>
      </c>
      <c r="C17" s="523">
        <v>60</v>
      </c>
      <c r="D17" s="524">
        <v>1435</v>
      </c>
      <c r="E17" s="525">
        <f t="shared" si="0"/>
        <v>86100</v>
      </c>
    </row>
    <row r="18" spans="1:6" x14ac:dyDescent="0.2">
      <c r="A18" s="519" t="s">
        <v>1280</v>
      </c>
      <c r="B18" s="465" t="s">
        <v>905</v>
      </c>
      <c r="C18" s="523">
        <v>12</v>
      </c>
      <c r="D18" s="524">
        <v>2800</v>
      </c>
      <c r="E18" s="525">
        <f t="shared" si="0"/>
        <v>33600</v>
      </c>
    </row>
    <row r="19" spans="1:6" x14ac:dyDescent="0.2">
      <c r="A19" s="519" t="s">
        <v>1259</v>
      </c>
      <c r="B19" s="521" t="s">
        <v>905</v>
      </c>
      <c r="C19" s="523">
        <v>10</v>
      </c>
      <c r="D19" s="526">
        <v>6500</v>
      </c>
      <c r="E19" s="525">
        <f t="shared" si="0"/>
        <v>65000</v>
      </c>
    </row>
    <row r="20" spans="1:6" x14ac:dyDescent="0.2">
      <c r="A20" s="527" t="s">
        <v>915</v>
      </c>
      <c r="B20" s="527"/>
      <c r="C20" s="528"/>
      <c r="D20" s="529"/>
      <c r="E20" s="530">
        <f>SUM(E9:E19)</f>
        <v>2128225</v>
      </c>
    </row>
    <row r="21" spans="1:6" x14ac:dyDescent="0.2">
      <c r="A21" s="531" t="s">
        <v>912</v>
      </c>
      <c r="B21" s="520"/>
      <c r="C21" s="523">
        <v>2</v>
      </c>
      <c r="D21" s="532"/>
      <c r="E21" s="525" t="s">
        <v>504</v>
      </c>
    </row>
    <row r="22" spans="1:6" x14ac:dyDescent="0.2">
      <c r="A22" s="527" t="s">
        <v>916</v>
      </c>
      <c r="B22" s="527" t="s">
        <v>913</v>
      </c>
      <c r="C22" s="533"/>
      <c r="D22" s="534"/>
      <c r="E22" s="535">
        <v>1064113</v>
      </c>
    </row>
    <row r="23" spans="1:6" ht="13.5" thickBot="1" x14ac:dyDescent="0.25">
      <c r="A23" s="536"/>
      <c r="B23" s="537"/>
      <c r="C23" s="538"/>
      <c r="D23" s="532"/>
      <c r="E23" s="539"/>
    </row>
    <row r="24" spans="1:6" x14ac:dyDescent="0.2">
      <c r="A24" s="1972" t="s">
        <v>921</v>
      </c>
      <c r="B24" s="1973"/>
      <c r="C24" s="1973"/>
      <c r="D24" s="1973"/>
      <c r="E24" s="1974"/>
    </row>
    <row r="25" spans="1:6" ht="13.5" thickBot="1" x14ac:dyDescent="0.25">
      <c r="A25" s="1975"/>
      <c r="B25" s="1976"/>
      <c r="C25" s="1976"/>
      <c r="D25" s="1976"/>
      <c r="E25" s="1977"/>
    </row>
    <row r="26" spans="1:6" x14ac:dyDescent="0.2">
      <c r="A26" s="1978" t="s">
        <v>1273</v>
      </c>
      <c r="B26" s="1979"/>
      <c r="C26" s="1979"/>
      <c r="D26" s="1979"/>
      <c r="E26" s="1980"/>
    </row>
    <row r="27" spans="1:6" x14ac:dyDescent="0.2">
      <c r="A27" s="1961"/>
      <c r="B27" s="1962"/>
      <c r="C27" s="1962"/>
      <c r="D27" s="1962"/>
      <c r="E27" s="1963"/>
      <c r="F27" s="24"/>
    </row>
    <row r="28" spans="1:6" x14ac:dyDescent="0.2">
      <c r="A28" s="540" t="s">
        <v>1274</v>
      </c>
      <c r="B28" s="541" t="s">
        <v>914</v>
      </c>
      <c r="C28" s="542">
        <v>1</v>
      </c>
      <c r="D28" s="543">
        <f>+'A Prestacional'!$C$9*2.5</f>
        <v>47225</v>
      </c>
      <c r="E28" s="544">
        <f>+C28*D28</f>
        <v>47225</v>
      </c>
      <c r="F28" s="24"/>
    </row>
    <row r="29" spans="1:6" x14ac:dyDescent="0.2">
      <c r="A29" s="519" t="s">
        <v>1275</v>
      </c>
      <c r="B29" s="465" t="s">
        <v>914</v>
      </c>
      <c r="C29" s="545">
        <v>1</v>
      </c>
      <c r="D29" s="532">
        <f>+'A Prestacional'!$C$9*1.5</f>
        <v>28335</v>
      </c>
      <c r="E29" s="544">
        <f>+C29*D29</f>
        <v>28335</v>
      </c>
      <c r="F29" s="24"/>
    </row>
    <row r="30" spans="1:6" x14ac:dyDescent="0.2">
      <c r="A30" s="519" t="s">
        <v>1260</v>
      </c>
      <c r="B30" s="465" t="s">
        <v>914</v>
      </c>
      <c r="C30" s="545">
        <v>0.1</v>
      </c>
      <c r="D30" s="532">
        <f>+'A Prestacional'!$C$9*2.7</f>
        <v>51003</v>
      </c>
      <c r="E30" s="544">
        <f>+C30*D30</f>
        <v>5100.3</v>
      </c>
    </row>
    <row r="31" spans="1:6" x14ac:dyDescent="0.2">
      <c r="A31" s="546" t="s">
        <v>1262</v>
      </c>
      <c r="B31" s="547" t="s">
        <v>914</v>
      </c>
      <c r="C31" s="528">
        <v>0.75</v>
      </c>
      <c r="D31" s="529">
        <f>SUM(E28:E30)</f>
        <v>80660.3</v>
      </c>
      <c r="E31" s="544">
        <f>+C31*D31</f>
        <v>60495.225000000006</v>
      </c>
    </row>
    <row r="32" spans="1:6" x14ac:dyDescent="0.2">
      <c r="A32" s="548" t="s">
        <v>1261</v>
      </c>
      <c r="B32" s="549"/>
      <c r="C32" s="549"/>
      <c r="D32" s="550"/>
      <c r="E32" s="551">
        <f>SUM(E28:E31)</f>
        <v>141155.52500000002</v>
      </c>
    </row>
    <row r="33" spans="1:5" x14ac:dyDescent="0.2">
      <c r="A33" s="548" t="s">
        <v>503</v>
      </c>
      <c r="B33" s="549"/>
      <c r="C33" s="549"/>
      <c r="D33" s="550"/>
      <c r="E33" s="551">
        <f>+E32/8</f>
        <v>17644.440625000003</v>
      </c>
    </row>
    <row r="35" spans="1:5" x14ac:dyDescent="0.2">
      <c r="A35" s="1958" t="s">
        <v>1263</v>
      </c>
      <c r="B35" s="1959"/>
      <c r="C35" s="1959"/>
      <c r="D35" s="1959"/>
      <c r="E35" s="1960"/>
    </row>
    <row r="36" spans="1:5" x14ac:dyDescent="0.2">
      <c r="A36" s="1961"/>
      <c r="B36" s="1962"/>
      <c r="C36" s="1962"/>
      <c r="D36" s="1962"/>
      <c r="E36" s="1963"/>
    </row>
    <row r="37" spans="1:5" x14ac:dyDescent="0.2">
      <c r="A37" s="540" t="s">
        <v>1274</v>
      </c>
      <c r="B37" s="541" t="s">
        <v>914</v>
      </c>
      <c r="C37" s="542">
        <v>1</v>
      </c>
      <c r="D37" s="543">
        <f>+D28</f>
        <v>47225</v>
      </c>
      <c r="E37" s="544">
        <f>+C37*D37</f>
        <v>47225</v>
      </c>
    </row>
    <row r="38" spans="1:5" x14ac:dyDescent="0.2">
      <c r="A38" s="519" t="s">
        <v>1275</v>
      </c>
      <c r="B38" s="465" t="s">
        <v>914</v>
      </c>
      <c r="C38" s="545">
        <v>2</v>
      </c>
      <c r="D38" s="532">
        <f>+D29</f>
        <v>28335</v>
      </c>
      <c r="E38" s="544">
        <f>+C38*D38</f>
        <v>56670</v>
      </c>
    </row>
    <row r="39" spans="1:5" x14ac:dyDescent="0.2">
      <c r="A39" s="519" t="s">
        <v>1260</v>
      </c>
      <c r="B39" s="465" t="s">
        <v>914</v>
      </c>
      <c r="C39" s="545">
        <v>0.05</v>
      </c>
      <c r="D39" s="532">
        <f>+D30</f>
        <v>51003</v>
      </c>
      <c r="E39" s="544">
        <f>+C39*D39</f>
        <v>2550.15</v>
      </c>
    </row>
    <row r="40" spans="1:5" x14ac:dyDescent="0.2">
      <c r="A40" s="546" t="s">
        <v>1262</v>
      </c>
      <c r="B40" s="547" t="s">
        <v>914</v>
      </c>
      <c r="C40" s="528">
        <f>+C31</f>
        <v>0.75</v>
      </c>
      <c r="D40" s="529">
        <f>SUM(E37:E39)</f>
        <v>106445.15</v>
      </c>
      <c r="E40" s="544">
        <f>+C40*D40</f>
        <v>79833.862499999988</v>
      </c>
    </row>
    <row r="41" spans="1:5" x14ac:dyDescent="0.2">
      <c r="A41" s="548" t="s">
        <v>1261</v>
      </c>
      <c r="B41" s="549"/>
      <c r="C41" s="549"/>
      <c r="D41" s="550"/>
      <c r="E41" s="551">
        <f>SUM(E37:E40)</f>
        <v>186279.01249999998</v>
      </c>
    </row>
    <row r="42" spans="1:5" x14ac:dyDescent="0.2">
      <c r="A42" s="548" t="s">
        <v>503</v>
      </c>
      <c r="B42" s="549"/>
      <c r="C42" s="549"/>
      <c r="D42" s="550"/>
      <c r="E42" s="551">
        <f>+E41/8</f>
        <v>23284.876562499998</v>
      </c>
    </row>
    <row r="44" spans="1:5" x14ac:dyDescent="0.2">
      <c r="A44" s="1958" t="s">
        <v>1264</v>
      </c>
      <c r="B44" s="1959"/>
      <c r="C44" s="1959"/>
      <c r="D44" s="1959"/>
      <c r="E44" s="1960"/>
    </row>
    <row r="45" spans="1:5" x14ac:dyDescent="0.2">
      <c r="A45" s="1961"/>
      <c r="B45" s="1962"/>
      <c r="C45" s="1962"/>
      <c r="D45" s="1962"/>
      <c r="E45" s="1963"/>
    </row>
    <row r="46" spans="1:5" x14ac:dyDescent="0.2">
      <c r="A46" s="519" t="s">
        <v>1274</v>
      </c>
      <c r="B46" s="465" t="s">
        <v>914</v>
      </c>
      <c r="C46" s="552">
        <v>2</v>
      </c>
      <c r="D46" s="525">
        <f>+D37</f>
        <v>47225</v>
      </c>
      <c r="E46" s="553">
        <f>+C46*D46</f>
        <v>94450</v>
      </c>
    </row>
    <row r="47" spans="1:5" x14ac:dyDescent="0.2">
      <c r="A47" s="519" t="s">
        <v>1275</v>
      </c>
      <c r="B47" s="465" t="s">
        <v>914</v>
      </c>
      <c r="C47" s="552">
        <v>3</v>
      </c>
      <c r="D47" s="525">
        <f>+D38</f>
        <v>28335</v>
      </c>
      <c r="E47" s="553">
        <f>+C47*D47</f>
        <v>85005</v>
      </c>
    </row>
    <row r="48" spans="1:5" x14ac:dyDescent="0.2">
      <c r="A48" s="519" t="s">
        <v>1260</v>
      </c>
      <c r="B48" s="465" t="s">
        <v>914</v>
      </c>
      <c r="C48" s="552">
        <v>0.1</v>
      </c>
      <c r="D48" s="554">
        <f>+D39</f>
        <v>51003</v>
      </c>
      <c r="E48" s="553">
        <f>+C48*D48</f>
        <v>5100.3</v>
      </c>
    </row>
    <row r="49" spans="1:21" x14ac:dyDescent="0.2">
      <c r="A49" s="546" t="s">
        <v>1262</v>
      </c>
      <c r="B49" s="547" t="s">
        <v>914</v>
      </c>
      <c r="C49" s="555">
        <f>+C40</f>
        <v>0.75</v>
      </c>
      <c r="D49" s="553">
        <f>SUM(E46:E48)</f>
        <v>184555.3</v>
      </c>
      <c r="E49" s="553">
        <f>+C49*D49</f>
        <v>138416.47499999998</v>
      </c>
    </row>
    <row r="50" spans="1:21" x14ac:dyDescent="0.2">
      <c r="A50" s="548" t="s">
        <v>1261</v>
      </c>
      <c r="B50" s="549"/>
      <c r="C50" s="549"/>
      <c r="D50" s="550"/>
      <c r="E50" s="551">
        <f>SUM(E46:E49)</f>
        <v>322971.77499999997</v>
      </c>
    </row>
    <row r="51" spans="1:21" x14ac:dyDescent="0.2">
      <c r="A51" s="548" t="s">
        <v>503</v>
      </c>
      <c r="B51" s="549"/>
      <c r="C51" s="549"/>
      <c r="D51" s="550"/>
      <c r="E51" s="551">
        <f>+E50/8</f>
        <v>40371.471874999996</v>
      </c>
    </row>
    <row r="52" spans="1:21" ht="12.75" customHeight="1" x14ac:dyDescent="0.2">
      <c r="G52" s="1940" t="s">
        <v>2701</v>
      </c>
      <c r="H52" s="1940"/>
      <c r="I52" s="1940"/>
      <c r="J52" s="1940"/>
      <c r="K52" s="1940"/>
      <c r="L52" s="1940"/>
      <c r="M52" s="1940"/>
    </row>
    <row r="53" spans="1:21" ht="12.75" customHeight="1" x14ac:dyDescent="0.2">
      <c r="A53" s="1958" t="s">
        <v>924</v>
      </c>
      <c r="B53" s="1959"/>
      <c r="C53" s="1959"/>
      <c r="D53" s="1959"/>
      <c r="E53" s="1960"/>
      <c r="G53" s="1940"/>
      <c r="H53" s="1940"/>
      <c r="I53" s="1940"/>
      <c r="J53" s="1940"/>
      <c r="K53" s="1940"/>
      <c r="L53" s="1940"/>
      <c r="M53" s="1940"/>
    </row>
    <row r="54" spans="1:21" x14ac:dyDescent="0.2">
      <c r="A54" s="1981"/>
      <c r="B54" s="1982"/>
      <c r="C54" s="1982"/>
      <c r="D54" s="1982"/>
      <c r="E54" s="1983"/>
      <c r="G54" s="1940"/>
      <c r="H54" s="1940"/>
      <c r="I54" s="1940"/>
      <c r="J54" s="1940"/>
      <c r="K54" s="1940"/>
      <c r="L54" s="1940"/>
      <c r="M54" s="1940"/>
    </row>
    <row r="55" spans="1:21" ht="15" x14ac:dyDescent="0.25">
      <c r="A55" s="540" t="s">
        <v>1274</v>
      </c>
      <c r="B55" s="541" t="s">
        <v>914</v>
      </c>
      <c r="C55" s="542">
        <v>0</v>
      </c>
      <c r="D55" s="543">
        <f>+D46</f>
        <v>47225</v>
      </c>
      <c r="E55" s="544">
        <f>+C55*D55</f>
        <v>0</v>
      </c>
      <c r="G55" s="1941" t="s">
        <v>2688</v>
      </c>
      <c r="H55" s="1942"/>
      <c r="I55" s="756" t="s">
        <v>2690</v>
      </c>
      <c r="J55" s="756" t="s">
        <v>2692</v>
      </c>
      <c r="K55" s="756" t="s">
        <v>2694</v>
      </c>
      <c r="L55" s="1943" t="s">
        <v>2696</v>
      </c>
      <c r="M55" s="1938" t="s">
        <v>2708</v>
      </c>
    </row>
    <row r="56" spans="1:21" ht="15" x14ac:dyDescent="0.25">
      <c r="A56" s="519" t="s">
        <v>1275</v>
      </c>
      <c r="B56" s="465" t="s">
        <v>914</v>
      </c>
      <c r="C56" s="545">
        <v>4</v>
      </c>
      <c r="D56" s="532">
        <f>+D47</f>
        <v>28335</v>
      </c>
      <c r="E56" s="544">
        <f>+C56*D56</f>
        <v>113340</v>
      </c>
      <c r="G56" s="760" t="s">
        <v>2689</v>
      </c>
      <c r="H56" s="760" t="s">
        <v>2376</v>
      </c>
      <c r="I56" s="760" t="s">
        <v>2691</v>
      </c>
      <c r="J56" s="763" t="s">
        <v>2693</v>
      </c>
      <c r="K56" s="760" t="s">
        <v>2695</v>
      </c>
      <c r="L56" s="1944"/>
      <c r="M56" s="1939"/>
    </row>
    <row r="57" spans="1:21" ht="15" x14ac:dyDescent="0.25">
      <c r="A57" s="519" t="s">
        <v>1260</v>
      </c>
      <c r="B57" s="465" t="s">
        <v>914</v>
      </c>
      <c r="C57" s="545">
        <v>0.03</v>
      </c>
      <c r="D57" s="532">
        <f>+D48</f>
        <v>51003</v>
      </c>
      <c r="E57" s="544">
        <f>+C57*D57</f>
        <v>1530.09</v>
      </c>
      <c r="G57" s="778" t="s">
        <v>2702</v>
      </c>
      <c r="H57" s="778" t="s">
        <v>2703</v>
      </c>
      <c r="I57" s="546">
        <v>23</v>
      </c>
      <c r="J57" s="546">
        <v>22.39</v>
      </c>
      <c r="K57" s="546">
        <v>18</v>
      </c>
      <c r="L57" s="780">
        <f>+I57/6</f>
        <v>3.8333333333333335</v>
      </c>
      <c r="M57" s="546" t="s">
        <v>2709</v>
      </c>
    </row>
    <row r="58" spans="1:21" ht="15" x14ac:dyDescent="0.25">
      <c r="A58" s="546" t="s">
        <v>1262</v>
      </c>
      <c r="B58" s="547" t="s">
        <v>914</v>
      </c>
      <c r="C58" s="528">
        <f>+C49</f>
        <v>0.75</v>
      </c>
      <c r="D58" s="529">
        <f>SUM(E55:E57)</f>
        <v>114870.09</v>
      </c>
      <c r="E58" s="544">
        <f>+C58*D58</f>
        <v>86152.567500000005</v>
      </c>
      <c r="G58" s="778" t="s">
        <v>2704</v>
      </c>
      <c r="H58" s="778" t="s">
        <v>2705</v>
      </c>
      <c r="I58" s="546">
        <v>6</v>
      </c>
      <c r="J58" s="546">
        <v>27.5</v>
      </c>
      <c r="K58" s="546">
        <v>36</v>
      </c>
      <c r="L58" s="761">
        <f>+I58/6</f>
        <v>1</v>
      </c>
      <c r="M58" s="546" t="s">
        <v>2710</v>
      </c>
    </row>
    <row r="59" spans="1:21" ht="15" x14ac:dyDescent="0.25">
      <c r="A59" s="548" t="s">
        <v>1261</v>
      </c>
      <c r="B59" s="549"/>
      <c r="C59" s="549"/>
      <c r="D59" s="550"/>
      <c r="E59" s="551">
        <f>SUM(E55:E58)</f>
        <v>201022.6575</v>
      </c>
      <c r="G59" s="773" t="s">
        <v>2706</v>
      </c>
      <c r="H59" s="774" t="s">
        <v>2707</v>
      </c>
      <c r="I59" s="773">
        <v>20.5</v>
      </c>
      <c r="J59" s="773">
        <v>25.37</v>
      </c>
      <c r="K59" s="773">
        <v>36</v>
      </c>
      <c r="L59" s="745">
        <f>+I59/6</f>
        <v>3.4166666666666665</v>
      </c>
      <c r="M59" s="546" t="s">
        <v>2710</v>
      </c>
      <c r="O59" s="743"/>
      <c r="P59" s="744"/>
      <c r="Q59" s="743"/>
      <c r="R59" s="743"/>
      <c r="S59" s="743"/>
      <c r="T59" s="743"/>
    </row>
    <row r="60" spans="1:21" ht="15" x14ac:dyDescent="0.25">
      <c r="A60" s="548" t="s">
        <v>503</v>
      </c>
      <c r="B60" s="549"/>
      <c r="C60" s="549"/>
      <c r="D60" s="550"/>
      <c r="E60" s="551">
        <f>+E59/8</f>
        <v>25127.8321875</v>
      </c>
      <c r="G60" s="435"/>
      <c r="H60" s="773"/>
      <c r="I60" s="773"/>
      <c r="J60" s="773"/>
      <c r="K60" s="773"/>
      <c r="L60" s="747"/>
      <c r="O60" s="435"/>
      <c r="P60" s="743"/>
      <c r="Q60" s="744"/>
      <c r="R60" s="743"/>
      <c r="S60" s="743"/>
      <c r="T60" s="743"/>
      <c r="U60" s="743"/>
    </row>
    <row r="61" spans="1:21" ht="15" x14ac:dyDescent="0.25">
      <c r="G61" s="745">
        <f>+SUMIF($F$2:$F$44,"=10",$D$2:$D$44)</f>
        <v>0</v>
      </c>
      <c r="H61" s="1957" t="s">
        <v>2319</v>
      </c>
      <c r="I61" s="1957"/>
      <c r="J61" s="746" t="s">
        <v>2320</v>
      </c>
      <c r="K61" s="746" t="s">
        <v>2320</v>
      </c>
      <c r="L61" s="434">
        <f>+I61/6</f>
        <v>0</v>
      </c>
      <c r="M61" s="783">
        <f>SUM(M57:M59)</f>
        <v>0</v>
      </c>
      <c r="O61" s="745">
        <f>+SUMIF($F$2:$F$44,"=10",$D$2:$D$44)</f>
        <v>0</v>
      </c>
      <c r="P61" s="435"/>
      <c r="Q61" s="743"/>
      <c r="R61" s="743"/>
      <c r="S61" s="743"/>
      <c r="T61" s="743"/>
      <c r="U61" s="743"/>
    </row>
    <row r="62" spans="1:21" ht="15" x14ac:dyDescent="0.25">
      <c r="A62" s="1958" t="s">
        <v>922</v>
      </c>
      <c r="B62" s="1959"/>
      <c r="C62" s="1959"/>
      <c r="D62" s="1959"/>
      <c r="E62" s="1960"/>
      <c r="G62" s="769">
        <f ca="1">+SUMIF($F$2:$F$54,"=12",$D$2:$D$44)</f>
        <v>0</v>
      </c>
      <c r="H62" s="770" t="s">
        <v>2323</v>
      </c>
      <c r="I62" s="771" t="s">
        <v>2280</v>
      </c>
      <c r="J62" s="772" t="s">
        <v>2324</v>
      </c>
      <c r="K62" s="772" t="s">
        <v>2325</v>
      </c>
      <c r="L62" s="772" t="s">
        <v>2326</v>
      </c>
      <c r="O62" s="745">
        <f ca="1">+SUMIF($F$2:$F$54,"=12",$D$2:$D$44)</f>
        <v>0</v>
      </c>
      <c r="P62" s="743"/>
      <c r="Q62" s="744"/>
      <c r="R62" s="743"/>
      <c r="S62" s="743"/>
      <c r="T62" s="743"/>
      <c r="U62" s="743"/>
    </row>
    <row r="63" spans="1:21" ht="15" x14ac:dyDescent="0.25">
      <c r="A63" s="1961"/>
      <c r="B63" s="1962"/>
      <c r="C63" s="1962"/>
      <c r="D63" s="1962"/>
      <c r="E63" s="1963"/>
      <c r="G63" s="745">
        <f>+SUMIF($F$2:$F$44,"=14",$D$2:$D$44)</f>
        <v>0</v>
      </c>
      <c r="H63" s="435">
        <v>6</v>
      </c>
      <c r="I63" s="748">
        <v>0.6</v>
      </c>
      <c r="J63" s="435">
        <v>10</v>
      </c>
      <c r="K63" s="747">
        <v>250</v>
      </c>
      <c r="L63" s="749">
        <f>(((K63/1000)^2)/4)*PI()</f>
        <v>4.9087385212340517E-2</v>
      </c>
      <c r="O63" s="745">
        <f>+SUMIF($F$2:$F$44,"=14",$D$2:$D$44)</f>
        <v>0</v>
      </c>
      <c r="P63" s="435"/>
      <c r="Q63" s="743"/>
      <c r="R63" s="743"/>
      <c r="S63" s="743"/>
      <c r="T63" s="743"/>
      <c r="U63" s="743"/>
    </row>
    <row r="64" spans="1:21" ht="15" x14ac:dyDescent="0.25">
      <c r="A64" s="540" t="s">
        <v>1274</v>
      </c>
      <c r="B64" s="541" t="s">
        <v>914</v>
      </c>
      <c r="C64" s="542">
        <v>0</v>
      </c>
      <c r="D64" s="556">
        <f>+D55</f>
        <v>47225</v>
      </c>
      <c r="E64" s="544">
        <f>+C64*D64</f>
        <v>0</v>
      </c>
      <c r="G64" s="745">
        <f ca="1">+SUMIF($F$2:$F$54,"=16",$D$2:$D$44)</f>
        <v>0</v>
      </c>
      <c r="H64" s="435">
        <v>10</v>
      </c>
      <c r="I64" s="748" t="e">
        <f>+#REF!</f>
        <v>#REF!</v>
      </c>
      <c r="J64" s="435">
        <v>12</v>
      </c>
      <c r="K64" s="747">
        <v>315</v>
      </c>
      <c r="L64" s="749">
        <f>(((K64/1000)^2)/4)*PI()</f>
        <v>7.793113276311181E-2</v>
      </c>
      <c r="O64" s="745">
        <f ca="1">+SUMIF($F$2:$F$54,"=16",$D$2:$D$44)</f>
        <v>0</v>
      </c>
      <c r="P64" s="745">
        <f>+SUMIF($F$2:$F$44,"=14",$D$2:$D$44)</f>
        <v>0</v>
      </c>
      <c r="Q64" s="435">
        <v>6</v>
      </c>
      <c r="R64" s="748">
        <v>0.6</v>
      </c>
      <c r="S64" s="435">
        <v>10</v>
      </c>
      <c r="T64" s="747">
        <v>250</v>
      </c>
      <c r="U64" s="749">
        <f>(((T64/1000)^2)/4)*PI()</f>
        <v>4.9087385212340517E-2</v>
      </c>
    </row>
    <row r="65" spans="1:21" ht="15" x14ac:dyDescent="0.25">
      <c r="A65" s="519" t="s">
        <v>1275</v>
      </c>
      <c r="B65" s="465" t="s">
        <v>914</v>
      </c>
      <c r="C65" s="545">
        <v>3</v>
      </c>
      <c r="D65" s="557">
        <f>+D56</f>
        <v>28335</v>
      </c>
      <c r="E65" s="544">
        <f>+C65*D65</f>
        <v>85005</v>
      </c>
      <c r="G65" s="745">
        <f>+SUMIF($F$2:$F$44,"=18",$D$2:$D$44)</f>
        <v>0</v>
      </c>
      <c r="H65" s="435">
        <v>12</v>
      </c>
      <c r="I65" s="750">
        <f>+D1</f>
        <v>0</v>
      </c>
      <c r="J65" s="435">
        <v>14</v>
      </c>
      <c r="K65" s="747">
        <v>355</v>
      </c>
      <c r="L65" s="749">
        <f>(((K65/1000)^2)/4)*PI()</f>
        <v>9.8979803542163416E-2</v>
      </c>
      <c r="O65" s="745">
        <f>+SUMIF($F$2:$F$44,"=18",$D$2:$D$44)</f>
        <v>0</v>
      </c>
      <c r="P65" s="745">
        <f ca="1">+SUMIF($F$2:$F$54,"=16",$D$2:$D$44)</f>
        <v>0</v>
      </c>
      <c r="Q65" s="435">
        <v>10</v>
      </c>
      <c r="R65" s="748" t="e">
        <f>+#REF!</f>
        <v>#REF!</v>
      </c>
      <c r="S65" s="435">
        <v>12</v>
      </c>
      <c r="T65" s="747">
        <v>315</v>
      </c>
      <c r="U65" s="749">
        <f>(((T65/1000)^2)/4)*PI()</f>
        <v>7.793113276311181E-2</v>
      </c>
    </row>
    <row r="66" spans="1:21" ht="15" x14ac:dyDescent="0.25">
      <c r="A66" s="519" t="s">
        <v>1260</v>
      </c>
      <c r="B66" s="465" t="s">
        <v>914</v>
      </c>
      <c r="C66" s="545">
        <v>0</v>
      </c>
      <c r="D66" s="532">
        <f>+D57</f>
        <v>51003</v>
      </c>
      <c r="E66" s="544">
        <f>+C66*D66</f>
        <v>0</v>
      </c>
      <c r="G66" s="745" t="s">
        <v>2697</v>
      </c>
      <c r="H66" s="751">
        <v>14</v>
      </c>
      <c r="I66" s="752">
        <f>+D10</f>
        <v>16200</v>
      </c>
      <c r="J66" s="435" t="s">
        <v>2698</v>
      </c>
      <c r="K66" s="747">
        <v>400</v>
      </c>
      <c r="L66" s="749">
        <f>(((K66/1000)^2)/4)*PI()</f>
        <v>0.12566370614359174</v>
      </c>
      <c r="O66" s="745">
        <f>+SUMIF($F$2:$F$44,"=20",$D$2:$D$44)</f>
        <v>0</v>
      </c>
      <c r="P66" s="745">
        <f>+SUMIF($F$2:$F$44,"=18",$D$2:$D$44)</f>
        <v>0</v>
      </c>
      <c r="Q66" s="435">
        <v>12</v>
      </c>
      <c r="R66" s="750">
        <f>+M2</f>
        <v>0</v>
      </c>
      <c r="S66" s="435">
        <v>14</v>
      </c>
      <c r="T66" s="747">
        <v>355</v>
      </c>
      <c r="U66" s="749">
        <f>(((T66/1000)^2)/4)*PI()</f>
        <v>9.8979803542163416E-2</v>
      </c>
    </row>
    <row r="67" spans="1:21" ht="15" x14ac:dyDescent="0.25">
      <c r="A67" s="546" t="s">
        <v>1262</v>
      </c>
      <c r="B67" s="547" t="s">
        <v>914</v>
      </c>
      <c r="C67" s="528">
        <f>+C58</f>
        <v>0.75</v>
      </c>
      <c r="D67" s="529">
        <f>SUM(E64:E66)</f>
        <v>85005</v>
      </c>
      <c r="E67" s="544">
        <f>+C67*D67</f>
        <v>63753.75</v>
      </c>
      <c r="G67" s="745">
        <f ca="1">+SUMIF($F$2:$F$54,"=24",$D$2:$D$44)</f>
        <v>0</v>
      </c>
      <c r="H67" s="435">
        <v>16</v>
      </c>
      <c r="I67" s="750">
        <f>+D2</f>
        <v>0</v>
      </c>
      <c r="J67" s="435">
        <v>18</v>
      </c>
      <c r="K67" s="747">
        <v>450</v>
      </c>
      <c r="L67" s="749">
        <f>(((K67/1000)^2)/4)*PI()</f>
        <v>0.15904312808798329</v>
      </c>
      <c r="O67" s="745">
        <f ca="1">+SUMIF($F$2:$F$54,"=24",$D$2:$D$44)</f>
        <v>0</v>
      </c>
      <c r="P67" s="745">
        <f>+SUMIF($F$2:$F$44,"=20",$D$2:$D$44)</f>
        <v>0</v>
      </c>
      <c r="Q67" s="751">
        <v>14</v>
      </c>
      <c r="R67" s="752">
        <f>+M11</f>
        <v>0</v>
      </c>
      <c r="S67" s="435">
        <v>16</v>
      </c>
      <c r="T67" s="747">
        <v>400</v>
      </c>
      <c r="U67" s="749">
        <f>(((T67/1000)^2)/4)*PI()</f>
        <v>0.12566370614359174</v>
      </c>
    </row>
    <row r="68" spans="1:21" ht="15" x14ac:dyDescent="0.25">
      <c r="A68" s="548" t="s">
        <v>1261</v>
      </c>
      <c r="B68" s="549"/>
      <c r="C68" s="549"/>
      <c r="D68" s="550"/>
      <c r="E68" s="551">
        <f>SUM(E64:E67)</f>
        <v>148758.75</v>
      </c>
      <c r="G68" s="745" t="s">
        <v>2699</v>
      </c>
      <c r="H68" s="435">
        <v>18</v>
      </c>
      <c r="I68" s="750" t="s">
        <v>2700</v>
      </c>
      <c r="J68" s="435">
        <v>20</v>
      </c>
      <c r="K68" s="747"/>
      <c r="L68" s="749"/>
      <c r="O68" s="745">
        <f ca="1">+SUMIF($F$2:$F$54,"=39",$D$2:$D$44)</f>
        <v>0</v>
      </c>
      <c r="P68" s="745">
        <f ca="1">+SUMIF($F$2:$F$54,"=24",$D$2:$D$44)</f>
        <v>0</v>
      </c>
      <c r="Q68" s="435">
        <v>16</v>
      </c>
      <c r="R68" s="750">
        <f>+M3</f>
        <v>0</v>
      </c>
      <c r="S68" s="435">
        <v>18</v>
      </c>
      <c r="T68" s="747">
        <v>450</v>
      </c>
      <c r="U68" s="749">
        <f>(((T68/1000)^2)/4)*PI()</f>
        <v>0.15904312808798329</v>
      </c>
    </row>
    <row r="69" spans="1:21" ht="15" x14ac:dyDescent="0.25">
      <c r="A69" s="548" t="s">
        <v>503</v>
      </c>
      <c r="B69" s="549"/>
      <c r="C69" s="549"/>
      <c r="D69" s="550"/>
      <c r="E69" s="551">
        <f>+E68/8</f>
        <v>18594.84375</v>
      </c>
      <c r="G69" s="745">
        <f>+SUMIF($F$2:$F$44,"=20",$D$2:$D$44)</f>
        <v>0</v>
      </c>
      <c r="H69" s="751">
        <v>14</v>
      </c>
      <c r="I69" s="752">
        <f>+D13</f>
        <v>34660</v>
      </c>
      <c r="J69" s="435">
        <v>16</v>
      </c>
      <c r="K69" s="747">
        <v>400</v>
      </c>
      <c r="L69" s="749">
        <f>(((K69/1000)^2)/4)*PI()</f>
        <v>0.12566370614359174</v>
      </c>
      <c r="P69" s="745">
        <f ca="1">+SUMIF($F$2:$F$54,"=39",$D$2:$D$44)</f>
        <v>0</v>
      </c>
      <c r="Q69" s="435">
        <v>18</v>
      </c>
      <c r="R69" s="750">
        <f>+M18</f>
        <v>0</v>
      </c>
      <c r="S69" s="435">
        <v>20</v>
      </c>
      <c r="T69" s="747"/>
      <c r="U69" s="749"/>
    </row>
    <row r="70" spans="1:21" ht="15" x14ac:dyDescent="0.25">
      <c r="G70" s="745">
        <f ca="1">+SUMIF($F$2:$F$54,"=24",$D$2:$D$44)</f>
        <v>0</v>
      </c>
      <c r="H70" s="435">
        <v>16</v>
      </c>
      <c r="I70" s="750">
        <f>+D5</f>
        <v>0</v>
      </c>
      <c r="J70" s="435">
        <v>18</v>
      </c>
      <c r="K70" s="747">
        <v>450</v>
      </c>
      <c r="L70" s="749">
        <f>(((K70/1000)^2)/4)*PI()</f>
        <v>0.15904312808798329</v>
      </c>
    </row>
    <row r="71" spans="1:21" ht="15" x14ac:dyDescent="0.25">
      <c r="A71" s="1958" t="s">
        <v>925</v>
      </c>
      <c r="B71" s="1959"/>
      <c r="C71" s="1959"/>
      <c r="D71" s="1959"/>
      <c r="E71" s="1960"/>
      <c r="G71" s="745"/>
      <c r="H71" s="435"/>
      <c r="I71" s="750"/>
      <c r="J71" s="435">
        <v>20</v>
      </c>
      <c r="K71" s="747"/>
      <c r="L71" s="749"/>
    </row>
    <row r="72" spans="1:21" x14ac:dyDescent="0.2">
      <c r="A72" s="1961"/>
      <c r="B72" s="1962"/>
      <c r="C72" s="1962"/>
      <c r="D72" s="1962"/>
      <c r="E72" s="1963"/>
    </row>
    <row r="73" spans="1:21" x14ac:dyDescent="0.2">
      <c r="A73" s="540" t="s">
        <v>1274</v>
      </c>
      <c r="B73" s="541" t="s">
        <v>914</v>
      </c>
      <c r="C73" s="542">
        <v>0</v>
      </c>
      <c r="D73" s="556">
        <f>+D64</f>
        <v>47225</v>
      </c>
      <c r="E73" s="544">
        <f>+C73*D73</f>
        <v>0</v>
      </c>
    </row>
    <row r="74" spans="1:21" x14ac:dyDescent="0.2">
      <c r="A74" s="519" t="s">
        <v>1275</v>
      </c>
      <c r="B74" s="465" t="s">
        <v>914</v>
      </c>
      <c r="C74" s="545">
        <v>6</v>
      </c>
      <c r="D74" s="532">
        <f>+D65</f>
        <v>28335</v>
      </c>
      <c r="E74" s="544">
        <f>+C74*D74</f>
        <v>170010</v>
      </c>
    </row>
    <row r="75" spans="1:21" x14ac:dyDescent="0.2">
      <c r="A75" s="519" t="s">
        <v>1260</v>
      </c>
      <c r="B75" s="465" t="s">
        <v>914</v>
      </c>
      <c r="C75" s="545">
        <v>0.1</v>
      </c>
      <c r="D75" s="532">
        <f>+D66</f>
        <v>51003</v>
      </c>
      <c r="E75" s="544">
        <f>+C75*D75</f>
        <v>5100.3</v>
      </c>
    </row>
    <row r="76" spans="1:21" x14ac:dyDescent="0.2">
      <c r="A76" s="546" t="s">
        <v>1262</v>
      </c>
      <c r="B76" s="547" t="s">
        <v>914</v>
      </c>
      <c r="C76" s="528">
        <f>+C67</f>
        <v>0.75</v>
      </c>
      <c r="D76" s="529">
        <f>SUM(E73:E75)</f>
        <v>175110.3</v>
      </c>
      <c r="E76" s="544">
        <f>+C76*D76</f>
        <v>131332.72499999998</v>
      </c>
    </row>
    <row r="77" spans="1:21" x14ac:dyDescent="0.2">
      <c r="A77" s="548" t="s">
        <v>1261</v>
      </c>
      <c r="B77" s="549"/>
      <c r="C77" s="549"/>
      <c r="D77" s="550"/>
      <c r="E77" s="551">
        <f>SUM(E73:E76)</f>
        <v>306443.02499999997</v>
      </c>
    </row>
    <row r="78" spans="1:21" x14ac:dyDescent="0.2">
      <c r="A78" s="548" t="s">
        <v>503</v>
      </c>
      <c r="B78" s="549"/>
      <c r="C78" s="549"/>
      <c r="D78" s="550"/>
      <c r="E78" s="551">
        <f>+E77/8</f>
        <v>38305.378124999996</v>
      </c>
    </row>
    <row r="80" spans="1:21" x14ac:dyDescent="0.2">
      <c r="A80" s="1958" t="s">
        <v>917</v>
      </c>
      <c r="B80" s="1959"/>
      <c r="C80" s="1959"/>
      <c r="D80" s="1959"/>
      <c r="E80" s="1960"/>
    </row>
    <row r="81" spans="1:5" x14ac:dyDescent="0.2">
      <c r="A81" s="1961"/>
      <c r="B81" s="1962"/>
      <c r="C81" s="1962"/>
      <c r="D81" s="1962"/>
      <c r="E81" s="1963"/>
    </row>
    <row r="82" spans="1:5" x14ac:dyDescent="0.2">
      <c r="A82" s="540" t="s">
        <v>1274</v>
      </c>
      <c r="B82" s="541" t="s">
        <v>914</v>
      </c>
      <c r="C82" s="542">
        <v>1</v>
      </c>
      <c r="D82" s="543">
        <f>+D73</f>
        <v>47225</v>
      </c>
      <c r="E82" s="544">
        <f>+C82*D82</f>
        <v>47225</v>
      </c>
    </row>
    <row r="83" spans="1:5" x14ac:dyDescent="0.2">
      <c r="A83" s="519" t="s">
        <v>1275</v>
      </c>
      <c r="B83" s="465" t="s">
        <v>914</v>
      </c>
      <c r="C83" s="545">
        <v>8</v>
      </c>
      <c r="D83" s="532">
        <f>+D74</f>
        <v>28335</v>
      </c>
      <c r="E83" s="544">
        <f>+C83*D83</f>
        <v>226680</v>
      </c>
    </row>
    <row r="84" spans="1:5" x14ac:dyDescent="0.2">
      <c r="A84" s="519" t="s">
        <v>1260</v>
      </c>
      <c r="B84" s="465" t="s">
        <v>914</v>
      </c>
      <c r="C84" s="545">
        <v>0.1</v>
      </c>
      <c r="D84" s="532">
        <f>+D75</f>
        <v>51003</v>
      </c>
      <c r="E84" s="544">
        <f>+C84*D84</f>
        <v>5100.3</v>
      </c>
    </row>
    <row r="85" spans="1:5" x14ac:dyDescent="0.2">
      <c r="A85" s="546" t="s">
        <v>1262</v>
      </c>
      <c r="B85" s="547" t="s">
        <v>914</v>
      </c>
      <c r="C85" s="528">
        <f>+C76</f>
        <v>0.75</v>
      </c>
      <c r="D85" s="529">
        <f>SUM(E82:E84)</f>
        <v>279005.3</v>
      </c>
      <c r="E85" s="544">
        <f>+C85*D85</f>
        <v>209253.97499999998</v>
      </c>
    </row>
    <row r="86" spans="1:5" x14ac:dyDescent="0.2">
      <c r="A86" s="548" t="s">
        <v>1261</v>
      </c>
      <c r="B86" s="549"/>
      <c r="C86" s="549"/>
      <c r="D86" s="550"/>
      <c r="E86" s="551">
        <f>SUM(E82:E85)</f>
        <v>488259.27499999997</v>
      </c>
    </row>
    <row r="87" spans="1:5" x14ac:dyDescent="0.2">
      <c r="A87" s="548" t="s">
        <v>503</v>
      </c>
      <c r="B87" s="549"/>
      <c r="C87" s="549"/>
      <c r="D87" s="550"/>
      <c r="E87" s="551">
        <f>+E86/8</f>
        <v>61032.409374999996</v>
      </c>
    </row>
    <row r="89" spans="1:5" x14ac:dyDescent="0.2">
      <c r="A89" s="1958" t="s">
        <v>506</v>
      </c>
      <c r="B89" s="1959"/>
      <c r="C89" s="1959"/>
      <c r="D89" s="1959"/>
      <c r="E89" s="1960"/>
    </row>
    <row r="90" spans="1:5" x14ac:dyDescent="0.2">
      <c r="A90" s="1961"/>
      <c r="B90" s="1962"/>
      <c r="C90" s="1962"/>
      <c r="D90" s="1962"/>
      <c r="E90" s="1963"/>
    </row>
    <row r="91" spans="1:5" x14ac:dyDescent="0.2">
      <c r="A91" s="540" t="s">
        <v>1274</v>
      </c>
      <c r="B91" s="541" t="s">
        <v>914</v>
      </c>
      <c r="C91" s="542">
        <v>1</v>
      </c>
      <c r="D91" s="543">
        <f>+D82</f>
        <v>47225</v>
      </c>
      <c r="E91" s="544">
        <f>+C91*D91</f>
        <v>47225</v>
      </c>
    </row>
    <row r="92" spans="1:5" x14ac:dyDescent="0.2">
      <c r="A92" s="519" t="s">
        <v>1275</v>
      </c>
      <c r="B92" s="465" t="s">
        <v>914</v>
      </c>
      <c r="C92" s="545">
        <v>1</v>
      </c>
      <c r="D92" s="532">
        <f>+D83</f>
        <v>28335</v>
      </c>
      <c r="E92" s="544">
        <f>+C92*D92</f>
        <v>28335</v>
      </c>
    </row>
    <row r="93" spans="1:5" x14ac:dyDescent="0.2">
      <c r="A93" s="519" t="s">
        <v>1260</v>
      </c>
      <c r="B93" s="465" t="s">
        <v>914</v>
      </c>
      <c r="C93" s="545">
        <v>0.05</v>
      </c>
      <c r="D93" s="532">
        <f>+D84</f>
        <v>51003</v>
      </c>
      <c r="E93" s="544">
        <f>+C93*D93</f>
        <v>2550.15</v>
      </c>
    </row>
    <row r="94" spans="1:5" x14ac:dyDescent="0.2">
      <c r="A94" s="546" t="s">
        <v>1262</v>
      </c>
      <c r="B94" s="547" t="s">
        <v>914</v>
      </c>
      <c r="C94" s="528">
        <f>+C85</f>
        <v>0.75</v>
      </c>
      <c r="D94" s="529">
        <f>SUM(E91:E93)</f>
        <v>78110.149999999994</v>
      </c>
      <c r="E94" s="553">
        <f>+C94*D94</f>
        <v>58582.612499999996</v>
      </c>
    </row>
    <row r="95" spans="1:5" x14ac:dyDescent="0.2">
      <c r="A95" s="548" t="s">
        <v>1261</v>
      </c>
      <c r="B95" s="549"/>
      <c r="C95" s="549"/>
      <c r="D95" s="550"/>
      <c r="E95" s="551">
        <f>SUM(E91:E94)</f>
        <v>136692.76249999998</v>
      </c>
    </row>
    <row r="96" spans="1:5" x14ac:dyDescent="0.2">
      <c r="A96" s="548" t="s">
        <v>503</v>
      </c>
      <c r="B96" s="549"/>
      <c r="C96" s="549"/>
      <c r="D96" s="550"/>
      <c r="E96" s="551">
        <f>+E95/8</f>
        <v>17086.595312499998</v>
      </c>
    </row>
    <row r="98" spans="1:5" x14ac:dyDescent="0.2">
      <c r="A98" s="1958" t="s">
        <v>1277</v>
      </c>
      <c r="B98" s="1959"/>
      <c r="C98" s="1959"/>
      <c r="D98" s="1959"/>
      <c r="E98" s="1960"/>
    </row>
    <row r="99" spans="1:5" x14ac:dyDescent="0.2">
      <c r="A99" s="1961"/>
      <c r="B99" s="1962"/>
      <c r="C99" s="1962"/>
      <c r="D99" s="1962"/>
      <c r="E99" s="1963"/>
    </row>
    <row r="100" spans="1:5" x14ac:dyDescent="0.2">
      <c r="A100" s="540" t="s">
        <v>1274</v>
      </c>
      <c r="B100" s="541" t="s">
        <v>914</v>
      </c>
      <c r="C100" s="542">
        <v>1</v>
      </c>
      <c r="D100" s="543">
        <f>+D91</f>
        <v>47225</v>
      </c>
      <c r="E100" s="544">
        <f>+C100*D100</f>
        <v>47225</v>
      </c>
    </row>
    <row r="101" spans="1:5" x14ac:dyDescent="0.2">
      <c r="A101" s="519" t="s">
        <v>1275</v>
      </c>
      <c r="B101" s="465" t="s">
        <v>914</v>
      </c>
      <c r="C101" s="545">
        <v>4</v>
      </c>
      <c r="D101" s="532">
        <f>+D92</f>
        <v>28335</v>
      </c>
      <c r="E101" s="544">
        <f>+C101*D101</f>
        <v>113340</v>
      </c>
    </row>
    <row r="102" spans="1:5" x14ac:dyDescent="0.2">
      <c r="A102" s="519" t="s">
        <v>1260</v>
      </c>
      <c r="B102" s="465" t="s">
        <v>914</v>
      </c>
      <c r="C102" s="545">
        <v>0.1</v>
      </c>
      <c r="D102" s="532">
        <f>+D93</f>
        <v>51003</v>
      </c>
      <c r="E102" s="544">
        <f>+C102*D102</f>
        <v>5100.3</v>
      </c>
    </row>
    <row r="103" spans="1:5" x14ac:dyDescent="0.2">
      <c r="A103" s="546" t="s">
        <v>1262</v>
      </c>
      <c r="B103" s="547" t="s">
        <v>914</v>
      </c>
      <c r="C103" s="528">
        <f>+C94</f>
        <v>0.75</v>
      </c>
      <c r="D103" s="529">
        <f>SUM(E100:E102)</f>
        <v>165665.29999999999</v>
      </c>
      <c r="E103" s="553">
        <f>+C103*D103</f>
        <v>124248.97499999999</v>
      </c>
    </row>
    <row r="104" spans="1:5" x14ac:dyDescent="0.2">
      <c r="A104" s="548" t="s">
        <v>1261</v>
      </c>
      <c r="B104" s="549"/>
      <c r="C104" s="549"/>
      <c r="D104" s="550"/>
      <c r="E104" s="551">
        <f>SUM(E100:E103)</f>
        <v>289914.27499999997</v>
      </c>
    </row>
    <row r="105" spans="1:5" x14ac:dyDescent="0.2">
      <c r="A105" s="548" t="s">
        <v>503</v>
      </c>
      <c r="B105" s="549"/>
      <c r="C105" s="549"/>
      <c r="D105" s="550"/>
      <c r="E105" s="551">
        <f>+E104/8</f>
        <v>36239.284374999996</v>
      </c>
    </row>
    <row r="107" spans="1:5" x14ac:dyDescent="0.2">
      <c r="A107" s="1958" t="s">
        <v>1278</v>
      </c>
      <c r="B107" s="1959"/>
      <c r="C107" s="1959"/>
      <c r="D107" s="1959"/>
      <c r="E107" s="1960"/>
    </row>
    <row r="108" spans="1:5" x14ac:dyDescent="0.2">
      <c r="A108" s="1961"/>
      <c r="B108" s="1962"/>
      <c r="C108" s="1962"/>
      <c r="D108" s="1962"/>
      <c r="E108" s="1963"/>
    </row>
    <row r="109" spans="1:5" x14ac:dyDescent="0.2">
      <c r="A109" s="540" t="s">
        <v>1274</v>
      </c>
      <c r="B109" s="541" t="s">
        <v>914</v>
      </c>
      <c r="C109" s="542">
        <v>2</v>
      </c>
      <c r="D109" s="543">
        <f>+D100</f>
        <v>47225</v>
      </c>
      <c r="E109" s="544">
        <f>+C109*D109</f>
        <v>94450</v>
      </c>
    </row>
    <row r="110" spans="1:5" x14ac:dyDescent="0.2">
      <c r="A110" s="519" t="s">
        <v>1275</v>
      </c>
      <c r="B110" s="465" t="s">
        <v>914</v>
      </c>
      <c r="C110" s="545">
        <v>6</v>
      </c>
      <c r="D110" s="532">
        <f>+D101</f>
        <v>28335</v>
      </c>
      <c r="E110" s="544">
        <f>+C110*D110</f>
        <v>170010</v>
      </c>
    </row>
    <row r="111" spans="1:5" x14ac:dyDescent="0.2">
      <c r="A111" s="519" t="s">
        <v>1260</v>
      </c>
      <c r="B111" s="465" t="s">
        <v>914</v>
      </c>
      <c r="C111" s="545">
        <v>0.1</v>
      </c>
      <c r="D111" s="532">
        <f>+D102</f>
        <v>51003</v>
      </c>
      <c r="E111" s="544">
        <f>+C111*D111</f>
        <v>5100.3</v>
      </c>
    </row>
    <row r="112" spans="1:5" x14ac:dyDescent="0.2">
      <c r="A112" s="546" t="s">
        <v>1262</v>
      </c>
      <c r="B112" s="547" t="s">
        <v>914</v>
      </c>
      <c r="C112" s="528">
        <f>+C103</f>
        <v>0.75</v>
      </c>
      <c r="D112" s="529">
        <f>SUM(E109:E111)</f>
        <v>269560.3</v>
      </c>
      <c r="E112" s="553">
        <f>+C112*D112</f>
        <v>202170.22499999998</v>
      </c>
    </row>
    <row r="113" spans="1:5" x14ac:dyDescent="0.2">
      <c r="A113" s="548" t="s">
        <v>1261</v>
      </c>
      <c r="B113" s="549"/>
      <c r="C113" s="549"/>
      <c r="D113" s="550"/>
      <c r="E113" s="551">
        <f>SUM(E109:E112)</f>
        <v>471730.52499999997</v>
      </c>
    </row>
    <row r="114" spans="1:5" x14ac:dyDescent="0.2">
      <c r="A114" s="548" t="s">
        <v>503</v>
      </c>
      <c r="B114" s="549"/>
      <c r="C114" s="549"/>
      <c r="D114" s="550"/>
      <c r="E114" s="551">
        <f>+E113/8</f>
        <v>58966.315624999996</v>
      </c>
    </row>
    <row r="116" spans="1:5" x14ac:dyDescent="0.2">
      <c r="A116" s="1958" t="s">
        <v>1256</v>
      </c>
      <c r="B116" s="1959"/>
      <c r="C116" s="1959"/>
      <c r="D116" s="1959"/>
      <c r="E116" s="1960"/>
    </row>
    <row r="117" spans="1:5" x14ac:dyDescent="0.2">
      <c r="A117" s="1961"/>
      <c r="B117" s="1962"/>
      <c r="C117" s="1962"/>
      <c r="D117" s="1962"/>
      <c r="E117" s="1963"/>
    </row>
    <row r="118" spans="1:5" x14ac:dyDescent="0.2">
      <c r="A118" s="540" t="s">
        <v>1274</v>
      </c>
      <c r="B118" s="541" t="s">
        <v>914</v>
      </c>
      <c r="C118" s="542">
        <v>5</v>
      </c>
      <c r="D118" s="543">
        <f>+D109</f>
        <v>47225</v>
      </c>
      <c r="E118" s="544">
        <f>+C118*D118</f>
        <v>236125</v>
      </c>
    </row>
    <row r="119" spans="1:5" x14ac:dyDescent="0.2">
      <c r="A119" s="519" t="s">
        <v>1275</v>
      </c>
      <c r="B119" s="465" t="s">
        <v>914</v>
      </c>
      <c r="C119" s="545">
        <v>14</v>
      </c>
      <c r="D119" s="532">
        <f>+D110</f>
        <v>28335</v>
      </c>
      <c r="E119" s="544">
        <f>+C119*D119</f>
        <v>396690</v>
      </c>
    </row>
    <row r="120" spans="1:5" x14ac:dyDescent="0.2">
      <c r="A120" s="519" t="s">
        <v>1260</v>
      </c>
      <c r="B120" s="465" t="s">
        <v>914</v>
      </c>
      <c r="C120" s="545">
        <v>0.1</v>
      </c>
      <c r="D120" s="532">
        <f>+D111</f>
        <v>51003</v>
      </c>
      <c r="E120" s="544">
        <f>+C120*D120</f>
        <v>5100.3</v>
      </c>
    </row>
    <row r="121" spans="1:5" x14ac:dyDescent="0.2">
      <c r="A121" s="546" t="s">
        <v>1262</v>
      </c>
      <c r="B121" s="547" t="s">
        <v>914</v>
      </c>
      <c r="C121" s="528">
        <f>+C112</f>
        <v>0.75</v>
      </c>
      <c r="D121" s="529">
        <f>SUM(E118:E120)</f>
        <v>637915.30000000005</v>
      </c>
      <c r="E121" s="553">
        <f>+C121*D121</f>
        <v>478436.47500000003</v>
      </c>
    </row>
    <row r="122" spans="1:5" x14ac:dyDescent="0.2">
      <c r="A122" s="548" t="s">
        <v>1261</v>
      </c>
      <c r="B122" s="549"/>
      <c r="C122" s="549"/>
      <c r="D122" s="550"/>
      <c r="E122" s="551">
        <f>SUM(E118:E121)</f>
        <v>1116351.7750000001</v>
      </c>
    </row>
    <row r="123" spans="1:5" x14ac:dyDescent="0.2">
      <c r="A123" s="548" t="s">
        <v>503</v>
      </c>
      <c r="B123" s="549"/>
      <c r="C123" s="549"/>
      <c r="D123" s="550"/>
      <c r="E123" s="551">
        <f>+E122/8</f>
        <v>139543.97187500002</v>
      </c>
    </row>
    <row r="125" spans="1:5" x14ac:dyDescent="0.2">
      <c r="A125" s="1958" t="s">
        <v>1257</v>
      </c>
      <c r="B125" s="1959"/>
      <c r="C125" s="1959"/>
      <c r="D125" s="1959"/>
      <c r="E125" s="1960"/>
    </row>
    <row r="126" spans="1:5" x14ac:dyDescent="0.2">
      <c r="A126" s="1961"/>
      <c r="B126" s="1962"/>
      <c r="C126" s="1962"/>
      <c r="D126" s="1962"/>
      <c r="E126" s="1963"/>
    </row>
    <row r="127" spans="1:5" x14ac:dyDescent="0.2">
      <c r="A127" s="540" t="s">
        <v>1274</v>
      </c>
      <c r="B127" s="541" t="s">
        <v>914</v>
      </c>
      <c r="C127" s="542">
        <v>2</v>
      </c>
      <c r="D127" s="543">
        <f>+D118</f>
        <v>47225</v>
      </c>
      <c r="E127" s="544">
        <f>+C127*D127</f>
        <v>94450</v>
      </c>
    </row>
    <row r="128" spans="1:5" x14ac:dyDescent="0.2">
      <c r="A128" s="519" t="s">
        <v>1275</v>
      </c>
      <c r="B128" s="465" t="s">
        <v>914</v>
      </c>
      <c r="C128" s="545">
        <v>5</v>
      </c>
      <c r="D128" s="532">
        <f>+D119</f>
        <v>28335</v>
      </c>
      <c r="E128" s="544">
        <f>+C128*D128</f>
        <v>141675</v>
      </c>
    </row>
    <row r="129" spans="1:5" x14ac:dyDescent="0.2">
      <c r="A129" s="519" t="s">
        <v>1260</v>
      </c>
      <c r="B129" s="465" t="s">
        <v>914</v>
      </c>
      <c r="C129" s="545">
        <v>0.1</v>
      </c>
      <c r="D129" s="532">
        <f>+D120</f>
        <v>51003</v>
      </c>
      <c r="E129" s="544">
        <f>+C129*D129</f>
        <v>5100.3</v>
      </c>
    </row>
    <row r="130" spans="1:5" x14ac:dyDescent="0.2">
      <c r="A130" s="546" t="s">
        <v>1262</v>
      </c>
      <c r="B130" s="547" t="s">
        <v>914</v>
      </c>
      <c r="C130" s="528">
        <f>+C121</f>
        <v>0.75</v>
      </c>
      <c r="D130" s="529">
        <f>SUM(E127:E129)</f>
        <v>241225.3</v>
      </c>
      <c r="E130" s="544">
        <f>+C130*D130</f>
        <v>180918.97499999998</v>
      </c>
    </row>
    <row r="131" spans="1:5" x14ac:dyDescent="0.2">
      <c r="A131" s="548" t="s">
        <v>1261</v>
      </c>
      <c r="B131" s="549"/>
      <c r="C131" s="549"/>
      <c r="D131" s="550"/>
      <c r="E131" s="530">
        <f>SUM(E127:E130)</f>
        <v>422144.27499999997</v>
      </c>
    </row>
    <row r="132" spans="1:5" x14ac:dyDescent="0.2">
      <c r="A132" s="548" t="s">
        <v>503</v>
      </c>
      <c r="B132" s="549"/>
      <c r="C132" s="549"/>
      <c r="D132" s="550"/>
      <c r="E132" s="551">
        <f>+E131/8</f>
        <v>52768.034374999996</v>
      </c>
    </row>
    <row r="134" spans="1:5" x14ac:dyDescent="0.2">
      <c r="A134" s="1958" t="s">
        <v>1258</v>
      </c>
      <c r="B134" s="1959"/>
      <c r="C134" s="1959"/>
      <c r="D134" s="1959"/>
      <c r="E134" s="1960"/>
    </row>
    <row r="135" spans="1:5" x14ac:dyDescent="0.2">
      <c r="A135" s="1961"/>
      <c r="B135" s="1962"/>
      <c r="C135" s="1962"/>
      <c r="D135" s="1962"/>
      <c r="E135" s="1963"/>
    </row>
    <row r="136" spans="1:5" x14ac:dyDescent="0.2">
      <c r="A136" s="540" t="s">
        <v>1274</v>
      </c>
      <c r="B136" s="541" t="s">
        <v>914</v>
      </c>
      <c r="C136" s="542">
        <v>2</v>
      </c>
      <c r="D136" s="543">
        <f>+D127</f>
        <v>47225</v>
      </c>
      <c r="E136" s="544">
        <f>+C136*D136</f>
        <v>94450</v>
      </c>
    </row>
    <row r="137" spans="1:5" x14ac:dyDescent="0.2">
      <c r="A137" s="519" t="s">
        <v>1275</v>
      </c>
      <c r="B137" s="465" t="s">
        <v>914</v>
      </c>
      <c r="C137" s="545">
        <v>10</v>
      </c>
      <c r="D137" s="532">
        <f>+D128</f>
        <v>28335</v>
      </c>
      <c r="E137" s="544">
        <f>+C137*D137</f>
        <v>283350</v>
      </c>
    </row>
    <row r="138" spans="1:5" x14ac:dyDescent="0.2">
      <c r="A138" s="519" t="s">
        <v>1260</v>
      </c>
      <c r="B138" s="465" t="s">
        <v>914</v>
      </c>
      <c r="C138" s="545">
        <v>0.1</v>
      </c>
      <c r="D138" s="532">
        <f>+D129</f>
        <v>51003</v>
      </c>
      <c r="E138" s="544">
        <f>+C138*D138</f>
        <v>5100.3</v>
      </c>
    </row>
    <row r="139" spans="1:5" x14ac:dyDescent="0.2">
      <c r="A139" s="546" t="s">
        <v>1262</v>
      </c>
      <c r="B139" s="547" t="s">
        <v>914</v>
      </c>
      <c r="C139" s="528">
        <f>+C130</f>
        <v>0.75</v>
      </c>
      <c r="D139" s="529">
        <f>SUM(E136:E138)</f>
        <v>382900.3</v>
      </c>
      <c r="E139" s="553">
        <f>+C139*D139</f>
        <v>287175.22499999998</v>
      </c>
    </row>
    <row r="140" spans="1:5" x14ac:dyDescent="0.2">
      <c r="A140" s="548" t="s">
        <v>1261</v>
      </c>
      <c r="B140" s="549"/>
      <c r="C140" s="549"/>
      <c r="D140" s="550"/>
      <c r="E140" s="551">
        <f>SUM(E136:E139)</f>
        <v>670075.52499999991</v>
      </c>
    </row>
    <row r="141" spans="1:5" x14ac:dyDescent="0.2">
      <c r="A141" s="548" t="s">
        <v>503</v>
      </c>
      <c r="B141" s="549"/>
      <c r="C141" s="549"/>
      <c r="D141" s="550"/>
      <c r="E141" s="551">
        <f>+E140/8</f>
        <v>83759.440624999988</v>
      </c>
    </row>
    <row r="143" spans="1:5" x14ac:dyDescent="0.2">
      <c r="A143" s="1958" t="s">
        <v>1276</v>
      </c>
      <c r="B143" s="1959"/>
      <c r="C143" s="1959"/>
      <c r="D143" s="1959"/>
      <c r="E143" s="1960"/>
    </row>
    <row r="144" spans="1:5" x14ac:dyDescent="0.2">
      <c r="A144" s="1961"/>
      <c r="B144" s="1962"/>
      <c r="C144" s="1962"/>
      <c r="D144" s="1962"/>
      <c r="E144" s="1963"/>
    </row>
    <row r="145" spans="1:6" x14ac:dyDescent="0.2">
      <c r="A145" s="540" t="s">
        <v>1274</v>
      </c>
      <c r="B145" s="541" t="s">
        <v>914</v>
      </c>
      <c r="C145" s="542">
        <v>2</v>
      </c>
      <c r="D145" s="543">
        <f>+D136</f>
        <v>47225</v>
      </c>
      <c r="E145" s="544">
        <f>+C145*D145</f>
        <v>94450</v>
      </c>
    </row>
    <row r="146" spans="1:6" x14ac:dyDescent="0.2">
      <c r="A146" s="519" t="s">
        <v>1275</v>
      </c>
      <c r="B146" s="465" t="s">
        <v>914</v>
      </c>
      <c r="C146" s="545">
        <v>4</v>
      </c>
      <c r="D146" s="532">
        <f>+D137</f>
        <v>28335</v>
      </c>
      <c r="E146" s="544">
        <f>+C146*D146</f>
        <v>113340</v>
      </c>
    </row>
    <row r="147" spans="1:6" x14ac:dyDescent="0.2">
      <c r="A147" s="519" t="s">
        <v>1260</v>
      </c>
      <c r="B147" s="465" t="s">
        <v>914</v>
      </c>
      <c r="C147" s="545">
        <v>0.1</v>
      </c>
      <c r="D147" s="532">
        <f>+D138</f>
        <v>51003</v>
      </c>
      <c r="E147" s="544">
        <f>+C147*D147</f>
        <v>5100.3</v>
      </c>
    </row>
    <row r="148" spans="1:6" x14ac:dyDescent="0.2">
      <c r="A148" s="546" t="s">
        <v>1262</v>
      </c>
      <c r="B148" s="547" t="s">
        <v>914</v>
      </c>
      <c r="C148" s="528">
        <f>+C139</f>
        <v>0.75</v>
      </c>
      <c r="D148" s="529">
        <f>SUM(E145:E147)</f>
        <v>212890.3</v>
      </c>
      <c r="E148" s="553">
        <f>+C148*D148</f>
        <v>159667.72499999998</v>
      </c>
    </row>
    <row r="149" spans="1:6" x14ac:dyDescent="0.2">
      <c r="A149" s="548" t="s">
        <v>1261</v>
      </c>
      <c r="B149" s="549"/>
      <c r="C149" s="549"/>
      <c r="D149" s="550"/>
      <c r="E149" s="551">
        <f>SUM(E145:E148)</f>
        <v>372558.02499999997</v>
      </c>
      <c r="F149" s="558"/>
    </row>
    <row r="150" spans="1:6" x14ac:dyDescent="0.2">
      <c r="A150" s="548" t="s">
        <v>503</v>
      </c>
      <c r="B150" s="549"/>
      <c r="C150" s="549"/>
      <c r="D150" s="550"/>
      <c r="E150" s="551">
        <f>+E149/8</f>
        <v>46569.753124999996</v>
      </c>
      <c r="F150" s="558"/>
    </row>
    <row r="153" spans="1:6" x14ac:dyDescent="0.2">
      <c r="A153" s="527" t="s">
        <v>919</v>
      </c>
      <c r="B153" s="559" t="s">
        <v>1271</v>
      </c>
      <c r="C153" s="560" t="s">
        <v>1272</v>
      </c>
      <c r="D153" s="559" t="s">
        <v>926</v>
      </c>
      <c r="E153" s="561"/>
    </row>
    <row r="154" spans="1:6" x14ac:dyDescent="0.2">
      <c r="A154" s="520"/>
      <c r="B154" s="521"/>
      <c r="C154" s="465"/>
      <c r="D154" s="521"/>
      <c r="E154" s="562"/>
    </row>
    <row r="155" spans="1:6" x14ac:dyDescent="0.2">
      <c r="A155" s="520"/>
      <c r="B155" s="521"/>
      <c r="C155" s="465"/>
      <c r="D155" s="521"/>
      <c r="E155" s="562"/>
    </row>
    <row r="156" spans="1:6" x14ac:dyDescent="0.2">
      <c r="A156" s="520"/>
      <c r="B156" s="521"/>
      <c r="C156" s="465"/>
      <c r="D156" s="521"/>
      <c r="E156" s="562"/>
    </row>
    <row r="157" spans="1:6" x14ac:dyDescent="0.2">
      <c r="A157" s="520"/>
      <c r="B157" s="521"/>
      <c r="C157" s="465"/>
      <c r="D157" s="521"/>
      <c r="E157" s="562"/>
    </row>
    <row r="158" spans="1:6" x14ac:dyDescent="0.2">
      <c r="A158" s="563" t="s">
        <v>1266</v>
      </c>
      <c r="B158" s="519">
        <v>21.87</v>
      </c>
      <c r="C158" s="518">
        <v>86.72</v>
      </c>
      <c r="D158" s="519">
        <v>129.94</v>
      </c>
      <c r="E158" s="562">
        <v>79.510000000000005</v>
      </c>
    </row>
    <row r="159" spans="1:6" x14ac:dyDescent="0.2">
      <c r="A159" s="563" t="s">
        <v>1267</v>
      </c>
      <c r="B159" s="519">
        <v>144.47</v>
      </c>
      <c r="C159" s="518">
        <v>489.08</v>
      </c>
      <c r="D159" s="519">
        <v>538.27</v>
      </c>
      <c r="E159" s="562"/>
    </row>
    <row r="160" spans="1:6" x14ac:dyDescent="0.2">
      <c r="A160" s="563" t="s">
        <v>1268</v>
      </c>
      <c r="B160" s="519">
        <v>188.1</v>
      </c>
      <c r="C160" s="518">
        <v>416.58</v>
      </c>
      <c r="D160" s="519">
        <v>362.43</v>
      </c>
      <c r="E160" s="562">
        <v>322.37</v>
      </c>
    </row>
    <row r="161" spans="1:10" x14ac:dyDescent="0.2">
      <c r="A161" s="563" t="s">
        <v>1269</v>
      </c>
      <c r="B161" s="519">
        <v>29.76</v>
      </c>
      <c r="C161" s="518">
        <v>77.64</v>
      </c>
      <c r="D161" s="519">
        <v>96.35</v>
      </c>
      <c r="E161" s="562"/>
    </row>
    <row r="162" spans="1:10" x14ac:dyDescent="0.2">
      <c r="A162" s="563" t="s">
        <v>1270</v>
      </c>
      <c r="B162" s="519">
        <v>95.66</v>
      </c>
      <c r="C162" s="518">
        <v>487.16</v>
      </c>
      <c r="D162" s="519">
        <v>376.44</v>
      </c>
      <c r="E162" s="562"/>
    </row>
    <row r="163" spans="1:10" x14ac:dyDescent="0.2">
      <c r="A163" s="564" t="s">
        <v>920</v>
      </c>
      <c r="B163" s="546">
        <v>479.86</v>
      </c>
      <c r="C163" s="565">
        <v>1557.18</v>
      </c>
      <c r="D163" s="546">
        <v>1503.43</v>
      </c>
      <c r="E163" s="561">
        <f>SUM(B163:D163)</f>
        <v>3540.4700000000003</v>
      </c>
    </row>
    <row r="164" spans="1:10" x14ac:dyDescent="0.2">
      <c r="A164" s="566" t="s">
        <v>918</v>
      </c>
      <c r="B164" s="553">
        <f>+$E$22/B163</f>
        <v>2217.5488684199559</v>
      </c>
      <c r="C164" s="529">
        <f>+$E$22/C163</f>
        <v>683.35902079399943</v>
      </c>
      <c r="D164" s="553">
        <f>+$E$22/D163</f>
        <v>707.79018644033977</v>
      </c>
      <c r="E164" s="567">
        <f>+ROUND(((B163*B164)+(C163*C164)+(D163*D164))/E163,0)</f>
        <v>902</v>
      </c>
    </row>
    <row r="165" spans="1:10" x14ac:dyDescent="0.2">
      <c r="A165" s="568" t="s">
        <v>927</v>
      </c>
      <c r="G165" s="569"/>
      <c r="H165" s="569"/>
      <c r="I165" s="569"/>
      <c r="J165" s="561"/>
    </row>
  </sheetData>
  <mergeCells count="24">
    <mergeCell ref="M55:M56"/>
    <mergeCell ref="G52:M54"/>
    <mergeCell ref="A26:E27"/>
    <mergeCell ref="A35:E36"/>
    <mergeCell ref="A44:E45"/>
    <mergeCell ref="A53:E54"/>
    <mergeCell ref="A1:E1"/>
    <mergeCell ref="A3:E3"/>
    <mergeCell ref="A4:E4"/>
    <mergeCell ref="A7:E8"/>
    <mergeCell ref="A24:E25"/>
    <mergeCell ref="H61:I61"/>
    <mergeCell ref="G55:H55"/>
    <mergeCell ref="L55:L56"/>
    <mergeCell ref="A143:E144"/>
    <mergeCell ref="A89:E90"/>
    <mergeCell ref="A98:E99"/>
    <mergeCell ref="A107:E108"/>
    <mergeCell ref="A116:E117"/>
    <mergeCell ref="A125:E126"/>
    <mergeCell ref="A134:E135"/>
    <mergeCell ref="A80:E81"/>
    <mergeCell ref="A71:E72"/>
    <mergeCell ref="A62:E63"/>
  </mergeCells>
  <pageMargins left="0.75" right="0.75" top="1" bottom="1" header="0" footer="0"/>
  <pageSetup orientation="portrait" r:id="rId1"/>
  <headerFooter alignWithMargins="0"/>
  <rowBreaks count="2" manualBreakCount="2">
    <brk id="97" max="4" man="1"/>
    <brk id="142" max="4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7"/>
  <sheetViews>
    <sheetView view="pageBreakPreview" zoomScale="60" workbookViewId="0">
      <selection activeCell="M75" sqref="M75"/>
    </sheetView>
  </sheetViews>
  <sheetFormatPr baseColWidth="10" defaultRowHeight="12.75" x14ac:dyDescent="0.2"/>
  <cols>
    <col min="1" max="1" width="23.85546875" style="571" bestFit="1" customWidth="1"/>
    <col min="2" max="2" width="7.42578125" style="571" bestFit="1" customWidth="1"/>
    <col min="3" max="3" width="9.28515625" style="571" bestFit="1" customWidth="1"/>
    <col min="4" max="4" width="13.5703125" style="571" bestFit="1" customWidth="1"/>
    <col min="5" max="5" width="14.7109375" style="571" bestFit="1" customWidth="1"/>
    <col min="6" max="16384" width="11.42578125" style="571"/>
  </cols>
  <sheetData>
    <row r="1" spans="1:11" ht="15" x14ac:dyDescent="0.25">
      <c r="A1" s="1995" t="s">
        <v>2082</v>
      </c>
      <c r="B1" s="1995"/>
      <c r="C1" s="1995"/>
      <c r="D1" s="1995"/>
      <c r="E1" s="1995"/>
      <c r="F1" s="570"/>
    </row>
    <row r="2" spans="1:11" x14ac:dyDescent="0.2">
      <c r="A2" s="1996"/>
      <c r="B2" s="1996"/>
      <c r="C2" s="1996"/>
      <c r="D2" s="1996"/>
      <c r="E2" s="1997"/>
      <c r="F2" s="570"/>
    </row>
    <row r="3" spans="1:11" ht="15" x14ac:dyDescent="0.25">
      <c r="A3" s="1995" t="s">
        <v>928</v>
      </c>
      <c r="B3" s="1995"/>
      <c r="C3" s="1995"/>
      <c r="D3" s="1995"/>
      <c r="E3" s="1995"/>
      <c r="F3" s="570"/>
    </row>
    <row r="4" spans="1:11" x14ac:dyDescent="0.2">
      <c r="A4" s="1998"/>
      <c r="B4" s="1998"/>
      <c r="C4" s="1998"/>
      <c r="D4" s="1998"/>
      <c r="E4" s="1998"/>
      <c r="F4" s="570"/>
    </row>
    <row r="5" spans="1:11" ht="13.5" thickBot="1" x14ac:dyDescent="0.25"/>
    <row r="6" spans="1:11" ht="13.5" thickBot="1" x14ac:dyDescent="0.25">
      <c r="A6" s="1987" t="s">
        <v>929</v>
      </c>
      <c r="B6" s="1988"/>
      <c r="C6" s="1988"/>
      <c r="D6" s="1988"/>
      <c r="E6" s="1989"/>
    </row>
    <row r="7" spans="1:11" ht="13.5" thickBot="1" x14ac:dyDescent="0.25">
      <c r="A7" s="572" t="s">
        <v>930</v>
      </c>
      <c r="B7" s="573" t="s">
        <v>931</v>
      </c>
      <c r="C7" s="573" t="s">
        <v>932</v>
      </c>
      <c r="D7" s="573" t="s">
        <v>933</v>
      </c>
      <c r="E7" s="574" t="s">
        <v>934</v>
      </c>
    </row>
    <row r="8" spans="1:11" x14ac:dyDescent="0.2">
      <c r="A8" s="575" t="s">
        <v>935</v>
      </c>
      <c r="B8" s="576" t="s">
        <v>936</v>
      </c>
      <c r="C8" s="577">
        <v>210</v>
      </c>
      <c r="D8" s="578" t="e">
        <f>#REF!</f>
        <v>#REF!</v>
      </c>
      <c r="E8" s="579" t="e">
        <f>ROUND(C8*D8,0)</f>
        <v>#REF!</v>
      </c>
    </row>
    <row r="9" spans="1:11" x14ac:dyDescent="0.2">
      <c r="A9" s="580" t="s">
        <v>937</v>
      </c>
      <c r="B9" s="581" t="s">
        <v>938</v>
      </c>
      <c r="C9" s="582">
        <v>0.5</v>
      </c>
      <c r="D9" s="583">
        <v>50000</v>
      </c>
      <c r="E9" s="584">
        <f>ROUND(C9*D9,0)</f>
        <v>25000</v>
      </c>
    </row>
    <row r="10" spans="1:11" x14ac:dyDescent="0.2">
      <c r="A10" s="580" t="s">
        <v>939</v>
      </c>
      <c r="B10" s="581" t="s">
        <v>938</v>
      </c>
      <c r="C10" s="582">
        <v>1</v>
      </c>
      <c r="D10" s="583">
        <v>50000</v>
      </c>
      <c r="E10" s="584">
        <f>ROUND(C10*D10,0)</f>
        <v>50000</v>
      </c>
    </row>
    <row r="11" spans="1:11" ht="13.5" thickBot="1" x14ac:dyDescent="0.25">
      <c r="A11" s="505" t="s">
        <v>940</v>
      </c>
      <c r="B11" s="585" t="s">
        <v>938</v>
      </c>
      <c r="C11" s="523">
        <v>0.16</v>
      </c>
      <c r="D11" s="586">
        <v>1065</v>
      </c>
      <c r="E11" s="587">
        <f>ROUND(C11*D11,0)</f>
        <v>170</v>
      </c>
    </row>
    <row r="12" spans="1:11" ht="13.5" thickBot="1" x14ac:dyDescent="0.25">
      <c r="A12" s="588" t="s">
        <v>941</v>
      </c>
      <c r="B12" s="589"/>
      <c r="C12" s="589"/>
      <c r="D12" s="590"/>
      <c r="E12" s="591" t="e">
        <f>SUM(E8:E11)</f>
        <v>#REF!</v>
      </c>
    </row>
    <row r="13" spans="1:11" ht="13.5" thickBot="1" x14ac:dyDescent="0.25"/>
    <row r="14" spans="1:11" ht="13.5" thickBot="1" x14ac:dyDescent="0.25">
      <c r="A14" s="1987" t="s">
        <v>2084</v>
      </c>
      <c r="B14" s="1988"/>
      <c r="C14" s="1988"/>
      <c r="D14" s="1988"/>
      <c r="E14" s="1989"/>
      <c r="G14" s="1987" t="s">
        <v>942</v>
      </c>
      <c r="H14" s="1988"/>
      <c r="I14" s="1988"/>
      <c r="J14" s="1988"/>
      <c r="K14" s="1989"/>
    </row>
    <row r="15" spans="1:11" ht="13.5" thickBot="1" x14ac:dyDescent="0.25">
      <c r="A15" s="572" t="s">
        <v>930</v>
      </c>
      <c r="B15" s="573" t="s">
        <v>931</v>
      </c>
      <c r="C15" s="573" t="s">
        <v>932</v>
      </c>
      <c r="D15" s="573" t="s">
        <v>933</v>
      </c>
      <c r="E15" s="574" t="s">
        <v>934</v>
      </c>
      <c r="G15" s="572" t="s">
        <v>930</v>
      </c>
      <c r="H15" s="573" t="s">
        <v>931</v>
      </c>
      <c r="I15" s="573" t="s">
        <v>932</v>
      </c>
      <c r="J15" s="573" t="s">
        <v>933</v>
      </c>
      <c r="K15" s="574" t="s">
        <v>934</v>
      </c>
    </row>
    <row r="16" spans="1:11" x14ac:dyDescent="0.2">
      <c r="A16" s="575" t="s">
        <v>935</v>
      </c>
      <c r="B16" s="592" t="s">
        <v>936</v>
      </c>
      <c r="C16" s="593">
        <v>390</v>
      </c>
      <c r="D16" s="594" t="e">
        <f>+D8</f>
        <v>#REF!</v>
      </c>
      <c r="E16" s="595" t="e">
        <f t="shared" ref="E16:E23" si="0">ROUND(C16*D16,0)</f>
        <v>#REF!</v>
      </c>
      <c r="G16" s="575" t="s">
        <v>935</v>
      </c>
      <c r="H16" s="592" t="s">
        <v>936</v>
      </c>
      <c r="I16" s="593">
        <v>390</v>
      </c>
      <c r="J16" s="594">
        <v>620</v>
      </c>
      <c r="K16" s="595">
        <f t="shared" ref="K16:K23" si="1">ROUND(I16*J16,0)</f>
        <v>241800</v>
      </c>
    </row>
    <row r="17" spans="1:11" x14ac:dyDescent="0.2">
      <c r="A17" s="580" t="s">
        <v>943</v>
      </c>
      <c r="B17" s="596" t="s">
        <v>938</v>
      </c>
      <c r="C17" s="597">
        <v>0.42</v>
      </c>
      <c r="D17" s="598">
        <v>54000</v>
      </c>
      <c r="E17" s="599">
        <f t="shared" si="0"/>
        <v>22680</v>
      </c>
      <c r="G17" s="580" t="s">
        <v>943</v>
      </c>
      <c r="H17" s="596" t="s">
        <v>938</v>
      </c>
      <c r="I17" s="597">
        <v>0.42</v>
      </c>
      <c r="J17" s="598">
        <v>54000</v>
      </c>
      <c r="K17" s="599">
        <f t="shared" si="1"/>
        <v>22680</v>
      </c>
    </row>
    <row r="18" spans="1:11" x14ac:dyDescent="0.2">
      <c r="A18" s="580" t="s">
        <v>944</v>
      </c>
      <c r="B18" s="596" t="s">
        <v>938</v>
      </c>
      <c r="C18" s="597">
        <v>0.81</v>
      </c>
      <c r="D18" s="598">
        <v>60000</v>
      </c>
      <c r="E18" s="599">
        <f t="shared" si="0"/>
        <v>48600</v>
      </c>
      <c r="G18" s="580" t="s">
        <v>944</v>
      </c>
      <c r="H18" s="596" t="s">
        <v>938</v>
      </c>
      <c r="I18" s="597">
        <v>0.81</v>
      </c>
      <c r="J18" s="598">
        <v>60000</v>
      </c>
      <c r="K18" s="599">
        <f t="shared" si="1"/>
        <v>48600</v>
      </c>
    </row>
    <row r="19" spans="1:11" x14ac:dyDescent="0.2">
      <c r="A19" s="505" t="s">
        <v>940</v>
      </c>
      <c r="B19" s="600" t="s">
        <v>938</v>
      </c>
      <c r="C19" s="601">
        <v>0.17</v>
      </c>
      <c r="D19" s="602">
        <f>+D11</f>
        <v>1065</v>
      </c>
      <c r="E19" s="603">
        <f t="shared" si="0"/>
        <v>181</v>
      </c>
      <c r="G19" s="505" t="s">
        <v>940</v>
      </c>
      <c r="H19" s="600" t="s">
        <v>938</v>
      </c>
      <c r="I19" s="601">
        <v>0.17</v>
      </c>
      <c r="J19" s="602">
        <v>1065</v>
      </c>
      <c r="K19" s="603">
        <f t="shared" si="1"/>
        <v>181</v>
      </c>
    </row>
    <row r="20" spans="1:11" x14ac:dyDescent="0.2">
      <c r="A20" s="505" t="s">
        <v>945</v>
      </c>
      <c r="B20" s="600" t="s">
        <v>914</v>
      </c>
      <c r="C20" s="601">
        <v>0.13</v>
      </c>
      <c r="D20" s="602">
        <f>+'A Mano de Obra'!E59</f>
        <v>201022.6575</v>
      </c>
      <c r="E20" s="603">
        <f t="shared" si="0"/>
        <v>26133</v>
      </c>
      <c r="G20" s="505" t="s">
        <v>945</v>
      </c>
      <c r="H20" s="600" t="s">
        <v>914</v>
      </c>
      <c r="I20" s="601">
        <v>0.13</v>
      </c>
      <c r="J20" s="602">
        <v>116937</v>
      </c>
      <c r="K20" s="603">
        <f t="shared" si="1"/>
        <v>15202</v>
      </c>
    </row>
    <row r="21" spans="1:11" x14ac:dyDescent="0.2">
      <c r="A21" s="505" t="s">
        <v>946</v>
      </c>
      <c r="B21" s="600" t="s">
        <v>914</v>
      </c>
      <c r="C21" s="601">
        <v>0.16</v>
      </c>
      <c r="D21" s="602">
        <v>27839.999999999996</v>
      </c>
      <c r="E21" s="603">
        <f t="shared" si="0"/>
        <v>4454</v>
      </c>
      <c r="G21" s="505" t="s">
        <v>946</v>
      </c>
      <c r="H21" s="600" t="s">
        <v>914</v>
      </c>
      <c r="I21" s="601">
        <v>0.16</v>
      </c>
      <c r="J21" s="602">
        <v>27840</v>
      </c>
      <c r="K21" s="603">
        <f t="shared" si="1"/>
        <v>4454</v>
      </c>
    </row>
    <row r="22" spans="1:11" x14ac:dyDescent="0.2">
      <c r="A22" s="505" t="s">
        <v>947</v>
      </c>
      <c r="B22" s="600" t="s">
        <v>913</v>
      </c>
      <c r="C22" s="601">
        <v>1</v>
      </c>
      <c r="D22" s="602">
        <v>10000</v>
      </c>
      <c r="E22" s="603">
        <f t="shared" si="0"/>
        <v>10000</v>
      </c>
      <c r="G22" s="505" t="s">
        <v>947</v>
      </c>
      <c r="H22" s="600" t="s">
        <v>913</v>
      </c>
      <c r="I22" s="601">
        <v>1</v>
      </c>
      <c r="J22" s="602">
        <v>10000</v>
      </c>
      <c r="K22" s="603">
        <f t="shared" si="1"/>
        <v>10000</v>
      </c>
    </row>
    <row r="23" spans="1:11" ht="13.5" thickBot="1" x14ac:dyDescent="0.25">
      <c r="A23" s="505" t="s">
        <v>948</v>
      </c>
      <c r="B23" s="604" t="s">
        <v>913</v>
      </c>
      <c r="C23" s="605">
        <v>1</v>
      </c>
      <c r="D23" s="606">
        <v>1500</v>
      </c>
      <c r="E23" s="603">
        <f t="shared" si="0"/>
        <v>1500</v>
      </c>
      <c r="G23" s="505" t="s">
        <v>948</v>
      </c>
      <c r="H23" s="604" t="s">
        <v>913</v>
      </c>
      <c r="I23" s="605">
        <v>1</v>
      </c>
      <c r="J23" s="606">
        <v>1500</v>
      </c>
      <c r="K23" s="603">
        <f t="shared" si="1"/>
        <v>1500</v>
      </c>
    </row>
    <row r="24" spans="1:11" ht="13.5" thickBot="1" x14ac:dyDescent="0.25">
      <c r="A24" s="588" t="s">
        <v>941</v>
      </c>
      <c r="B24" s="589"/>
      <c r="C24" s="589"/>
      <c r="D24" s="590"/>
      <c r="E24" s="591" t="e">
        <f>SUM(E16:E23)</f>
        <v>#REF!</v>
      </c>
      <c r="G24" s="588" t="s">
        <v>941</v>
      </c>
      <c r="H24" s="589"/>
      <c r="I24" s="589"/>
      <c r="J24" s="590"/>
      <c r="K24" s="591">
        <f>SUM(K16:K23)</f>
        <v>344417</v>
      </c>
    </row>
    <row r="25" spans="1:11" ht="13.5" thickBot="1" x14ac:dyDescent="0.25"/>
    <row r="26" spans="1:11" ht="13.5" thickBot="1" x14ac:dyDescent="0.25">
      <c r="A26" s="1984" t="s">
        <v>949</v>
      </c>
      <c r="B26" s="1985"/>
      <c r="C26" s="1985"/>
      <c r="D26" s="1985"/>
      <c r="E26" s="1986"/>
    </row>
    <row r="27" spans="1:11" ht="13.5" thickBot="1" x14ac:dyDescent="0.25">
      <c r="A27" s="572" t="s">
        <v>930</v>
      </c>
      <c r="B27" s="573" t="s">
        <v>931</v>
      </c>
      <c r="C27" s="573" t="s">
        <v>932</v>
      </c>
      <c r="D27" s="573" t="s">
        <v>933</v>
      </c>
      <c r="E27" s="574" t="s">
        <v>934</v>
      </c>
    </row>
    <row r="28" spans="1:11" x14ac:dyDescent="0.2">
      <c r="A28" s="607" t="s">
        <v>935</v>
      </c>
      <c r="B28" s="608" t="s">
        <v>936</v>
      </c>
      <c r="C28" s="609">
        <v>408</v>
      </c>
      <c r="D28" s="610" t="e">
        <f t="shared" ref="D28:D33" si="2">+D16</f>
        <v>#REF!</v>
      </c>
      <c r="E28" s="611" t="e">
        <f t="shared" ref="E28:E35" si="3">ROUND(C28*D28,0)</f>
        <v>#REF!</v>
      </c>
    </row>
    <row r="29" spans="1:11" x14ac:dyDescent="0.2">
      <c r="A29" s="580" t="s">
        <v>943</v>
      </c>
      <c r="B29" s="596" t="s">
        <v>938</v>
      </c>
      <c r="C29" s="597">
        <v>0.41</v>
      </c>
      <c r="D29" s="598">
        <f t="shared" si="2"/>
        <v>54000</v>
      </c>
      <c r="E29" s="599">
        <f t="shared" si="3"/>
        <v>22140</v>
      </c>
    </row>
    <row r="30" spans="1:11" x14ac:dyDescent="0.2">
      <c r="A30" s="580" t="s">
        <v>944</v>
      </c>
      <c r="B30" s="596" t="s">
        <v>938</v>
      </c>
      <c r="C30" s="597">
        <v>0.8</v>
      </c>
      <c r="D30" s="598">
        <f t="shared" si="2"/>
        <v>60000</v>
      </c>
      <c r="E30" s="599">
        <f t="shared" si="3"/>
        <v>48000</v>
      </c>
    </row>
    <row r="31" spans="1:11" x14ac:dyDescent="0.2">
      <c r="A31" s="505" t="s">
        <v>940</v>
      </c>
      <c r="B31" s="600" t="s">
        <v>938</v>
      </c>
      <c r="C31" s="601">
        <v>0.17</v>
      </c>
      <c r="D31" s="602">
        <f t="shared" si="2"/>
        <v>1065</v>
      </c>
      <c r="E31" s="603">
        <f t="shared" si="3"/>
        <v>181</v>
      </c>
    </row>
    <row r="32" spans="1:11" x14ac:dyDescent="0.2">
      <c r="A32" s="505" t="s">
        <v>945</v>
      </c>
      <c r="B32" s="600" t="s">
        <v>914</v>
      </c>
      <c r="C32" s="601">
        <v>0.16</v>
      </c>
      <c r="D32" s="602">
        <f>+'A Mano de Obra'!E59</f>
        <v>201022.6575</v>
      </c>
      <c r="E32" s="603">
        <f t="shared" si="3"/>
        <v>32164</v>
      </c>
    </row>
    <row r="33" spans="1:5" x14ac:dyDescent="0.2">
      <c r="A33" s="505" t="s">
        <v>946</v>
      </c>
      <c r="B33" s="600" t="s">
        <v>914</v>
      </c>
      <c r="C33" s="601">
        <v>0.16</v>
      </c>
      <c r="D33" s="602">
        <f t="shared" si="2"/>
        <v>27839.999999999996</v>
      </c>
      <c r="E33" s="603">
        <f t="shared" si="3"/>
        <v>4454</v>
      </c>
    </row>
    <row r="34" spans="1:5" x14ac:dyDescent="0.2">
      <c r="A34" s="505" t="s">
        <v>947</v>
      </c>
      <c r="B34" s="600" t="s">
        <v>913</v>
      </c>
      <c r="C34" s="601">
        <v>1</v>
      </c>
      <c r="D34" s="602">
        <v>10000</v>
      </c>
      <c r="E34" s="603">
        <f t="shared" si="3"/>
        <v>10000</v>
      </c>
    </row>
    <row r="35" spans="1:5" ht="13.5" thickBot="1" x14ac:dyDescent="0.25">
      <c r="A35" s="505" t="s">
        <v>948</v>
      </c>
      <c r="B35" s="604" t="s">
        <v>913</v>
      </c>
      <c r="C35" s="605">
        <v>1</v>
      </c>
      <c r="D35" s="606">
        <v>1500</v>
      </c>
      <c r="E35" s="603">
        <f t="shared" si="3"/>
        <v>1500</v>
      </c>
    </row>
    <row r="36" spans="1:5" ht="13.5" thickBot="1" x14ac:dyDescent="0.25">
      <c r="A36" s="588" t="s">
        <v>941</v>
      </c>
      <c r="B36" s="589"/>
      <c r="C36" s="589"/>
      <c r="D36" s="590"/>
      <c r="E36" s="591" t="e">
        <f>SUM(E28:E35)</f>
        <v>#REF!</v>
      </c>
    </row>
    <row r="37" spans="1:5" ht="13.5" thickBot="1" x14ac:dyDescent="0.25"/>
    <row r="38" spans="1:5" ht="13.5" thickBot="1" x14ac:dyDescent="0.25">
      <c r="A38" s="1984" t="s">
        <v>950</v>
      </c>
      <c r="B38" s="1985"/>
      <c r="C38" s="1985"/>
      <c r="D38" s="1985"/>
      <c r="E38" s="1986"/>
    </row>
    <row r="39" spans="1:5" ht="13.5" thickBot="1" x14ac:dyDescent="0.25">
      <c r="A39" s="572" t="s">
        <v>930</v>
      </c>
      <c r="B39" s="573" t="s">
        <v>931</v>
      </c>
      <c r="C39" s="573" t="s">
        <v>932</v>
      </c>
      <c r="D39" s="573" t="s">
        <v>933</v>
      </c>
      <c r="E39" s="574" t="s">
        <v>934</v>
      </c>
    </row>
    <row r="40" spans="1:5" x14ac:dyDescent="0.2">
      <c r="A40" s="612" t="s">
        <v>935</v>
      </c>
      <c r="B40" s="613" t="s">
        <v>936</v>
      </c>
      <c r="C40" s="614">
        <v>350</v>
      </c>
      <c r="D40" s="578" t="e">
        <f>+D8</f>
        <v>#REF!</v>
      </c>
      <c r="E40" s="579" t="e">
        <f>ROUND(C40*D40,0)</f>
        <v>#REF!</v>
      </c>
    </row>
    <row r="41" spans="1:5" x14ac:dyDescent="0.2">
      <c r="A41" s="615" t="s">
        <v>937</v>
      </c>
      <c r="B41" s="616" t="s">
        <v>938</v>
      </c>
      <c r="C41" s="617">
        <v>0.56000000000000005</v>
      </c>
      <c r="D41" s="583">
        <f>+D9</f>
        <v>50000</v>
      </c>
      <c r="E41" s="584">
        <f>ROUND(C41*D41,0)</f>
        <v>28000</v>
      </c>
    </row>
    <row r="42" spans="1:5" x14ac:dyDescent="0.2">
      <c r="A42" s="615" t="s">
        <v>939</v>
      </c>
      <c r="B42" s="616" t="s">
        <v>938</v>
      </c>
      <c r="C42" s="617">
        <v>0.88</v>
      </c>
      <c r="D42" s="583">
        <f>+D10</f>
        <v>50000</v>
      </c>
      <c r="E42" s="584">
        <f>ROUND(C42*D42,0)</f>
        <v>44000</v>
      </c>
    </row>
    <row r="43" spans="1:5" ht="13.5" thickBot="1" x14ac:dyDescent="0.25">
      <c r="A43" s="618" t="s">
        <v>940</v>
      </c>
      <c r="B43" s="619" t="s">
        <v>938</v>
      </c>
      <c r="C43" s="620">
        <v>0.17</v>
      </c>
      <c r="D43" s="586">
        <f>+D11</f>
        <v>1065</v>
      </c>
      <c r="E43" s="587">
        <f>ROUND(C43*D43,0)</f>
        <v>181</v>
      </c>
    </row>
    <row r="44" spans="1:5" ht="13.5" thickBot="1" x14ac:dyDescent="0.25">
      <c r="A44" s="588" t="s">
        <v>941</v>
      </c>
      <c r="B44" s="589"/>
      <c r="C44" s="589"/>
      <c r="D44" s="590"/>
      <c r="E44" s="591" t="e">
        <f>SUM(E40:E43)</f>
        <v>#REF!</v>
      </c>
    </row>
    <row r="46" spans="1:5" ht="13.5" thickBot="1" x14ac:dyDescent="0.25"/>
    <row r="47" spans="1:5" ht="13.5" thickBot="1" x14ac:dyDescent="0.25">
      <c r="A47" s="1984" t="s">
        <v>951</v>
      </c>
      <c r="B47" s="1985"/>
      <c r="C47" s="1985"/>
      <c r="D47" s="1985"/>
      <c r="E47" s="1986"/>
    </row>
    <row r="48" spans="1:5" ht="13.5" thickBot="1" x14ac:dyDescent="0.25">
      <c r="A48" s="572" t="s">
        <v>930</v>
      </c>
      <c r="B48" s="573" t="s">
        <v>931</v>
      </c>
      <c r="C48" s="573" t="s">
        <v>932</v>
      </c>
      <c r="D48" s="573" t="s">
        <v>933</v>
      </c>
      <c r="E48" s="574" t="s">
        <v>934</v>
      </c>
    </row>
    <row r="49" spans="1:21" x14ac:dyDescent="0.2">
      <c r="A49" s="505" t="s">
        <v>935</v>
      </c>
      <c r="B49" s="585" t="s">
        <v>936</v>
      </c>
      <c r="C49" s="523">
        <v>450</v>
      </c>
      <c r="D49" s="586" t="e">
        <f>+D8</f>
        <v>#REF!</v>
      </c>
      <c r="E49" s="587" t="e">
        <f>ROUND(C49*D49,0)</f>
        <v>#REF!</v>
      </c>
    </row>
    <row r="50" spans="1:21" x14ac:dyDescent="0.2">
      <c r="A50" s="580" t="s">
        <v>937</v>
      </c>
      <c r="B50" s="581" t="s">
        <v>938</v>
      </c>
      <c r="C50" s="582">
        <v>0.56000000000000005</v>
      </c>
      <c r="D50" s="583">
        <f>+D9</f>
        <v>50000</v>
      </c>
      <c r="E50" s="584">
        <f>ROUND(C50*D50,0)</f>
        <v>28000</v>
      </c>
    </row>
    <row r="51" spans="1:21" x14ac:dyDescent="0.2">
      <c r="A51" s="580" t="s">
        <v>939</v>
      </c>
      <c r="B51" s="581" t="s">
        <v>938</v>
      </c>
      <c r="C51" s="582">
        <v>0.67</v>
      </c>
      <c r="D51" s="583">
        <f>+D10</f>
        <v>50000</v>
      </c>
      <c r="E51" s="584">
        <f>ROUND(C51*D51,0)</f>
        <v>33500</v>
      </c>
    </row>
    <row r="52" spans="1:21" ht="13.5" customHeight="1" thickBot="1" x14ac:dyDescent="0.25">
      <c r="A52" s="505" t="s">
        <v>940</v>
      </c>
      <c r="B52" s="585" t="s">
        <v>938</v>
      </c>
      <c r="C52" s="523">
        <v>0.17</v>
      </c>
      <c r="D52" s="586">
        <f>+D11</f>
        <v>1065</v>
      </c>
      <c r="E52" s="587">
        <f>ROUND(C52*D52,0)</f>
        <v>181</v>
      </c>
      <c r="G52" s="1994" t="s">
        <v>2701</v>
      </c>
      <c r="H52" s="1994"/>
      <c r="I52" s="1994"/>
      <c r="J52" s="1994"/>
      <c r="K52" s="1994"/>
      <c r="L52" s="1994"/>
      <c r="M52" s="1994"/>
    </row>
    <row r="53" spans="1:21" ht="13.5" thickBot="1" x14ac:dyDescent="0.25">
      <c r="A53" s="588" t="s">
        <v>941</v>
      </c>
      <c r="B53" s="589"/>
      <c r="C53" s="589"/>
      <c r="D53" s="590"/>
      <c r="E53" s="591" t="e">
        <f>SUM(E49:E52)</f>
        <v>#REF!</v>
      </c>
      <c r="G53" s="1994"/>
      <c r="H53" s="1994"/>
      <c r="I53" s="1994"/>
      <c r="J53" s="1994"/>
      <c r="K53" s="1994"/>
      <c r="L53" s="1994"/>
      <c r="M53" s="1994"/>
    </row>
    <row r="54" spans="1:21" ht="13.5" thickBot="1" x14ac:dyDescent="0.25">
      <c r="G54" s="1994"/>
      <c r="H54" s="1994"/>
      <c r="I54" s="1994"/>
      <c r="J54" s="1994"/>
      <c r="K54" s="1994"/>
      <c r="L54" s="1994"/>
      <c r="M54" s="1994"/>
    </row>
    <row r="55" spans="1:21" ht="15.75" thickBot="1" x14ac:dyDescent="0.3">
      <c r="A55" s="1984" t="s">
        <v>952</v>
      </c>
      <c r="B55" s="1985"/>
      <c r="C55" s="1985"/>
      <c r="D55" s="1985"/>
      <c r="E55" s="1986"/>
      <c r="G55" s="1990" t="s">
        <v>2688</v>
      </c>
      <c r="H55" s="1991"/>
      <c r="I55" s="754" t="s">
        <v>2690</v>
      </c>
      <c r="J55" s="754" t="s">
        <v>2692</v>
      </c>
      <c r="K55" s="754" t="s">
        <v>2694</v>
      </c>
      <c r="L55" s="1999" t="s">
        <v>2696</v>
      </c>
      <c r="M55" s="1992" t="s">
        <v>2708</v>
      </c>
    </row>
    <row r="56" spans="1:21" ht="15.75" thickBot="1" x14ac:dyDescent="0.3">
      <c r="A56" s="572" t="s">
        <v>930</v>
      </c>
      <c r="B56" s="573" t="s">
        <v>931</v>
      </c>
      <c r="C56" s="573" t="s">
        <v>932</v>
      </c>
      <c r="D56" s="573" t="s">
        <v>933</v>
      </c>
      <c r="E56" s="574" t="s">
        <v>934</v>
      </c>
      <c r="G56" s="758" t="s">
        <v>2689</v>
      </c>
      <c r="H56" s="758" t="s">
        <v>2376</v>
      </c>
      <c r="I56" s="758" t="s">
        <v>2691</v>
      </c>
      <c r="J56" s="762" t="s">
        <v>2693</v>
      </c>
      <c r="K56" s="758" t="s">
        <v>2695</v>
      </c>
      <c r="L56" s="2000"/>
      <c r="M56" s="1993"/>
    </row>
    <row r="57" spans="1:21" ht="15" x14ac:dyDescent="0.25">
      <c r="A57" s="621" t="s">
        <v>935</v>
      </c>
      <c r="B57" s="576" t="s">
        <v>936</v>
      </c>
      <c r="C57" s="577">
        <v>230</v>
      </c>
      <c r="D57" s="578" t="e">
        <f>+D49</f>
        <v>#REF!</v>
      </c>
      <c r="E57" s="622" t="e">
        <f>ROUND(C57*D57,0)</f>
        <v>#REF!</v>
      </c>
      <c r="G57" s="777" t="s">
        <v>2702</v>
      </c>
      <c r="H57" s="777" t="s">
        <v>2703</v>
      </c>
      <c r="I57" s="755">
        <v>23</v>
      </c>
      <c r="J57" s="755">
        <v>22.39</v>
      </c>
      <c r="K57" s="755">
        <v>18</v>
      </c>
      <c r="L57" s="779">
        <f>+I57/6</f>
        <v>3.8333333333333335</v>
      </c>
      <c r="M57" s="755" t="s">
        <v>2709</v>
      </c>
    </row>
    <row r="58" spans="1:21" ht="15" x14ac:dyDescent="0.25">
      <c r="A58" s="623" t="s">
        <v>937</v>
      </c>
      <c r="B58" s="581" t="s">
        <v>938</v>
      </c>
      <c r="C58" s="582">
        <v>0.55500000000000005</v>
      </c>
      <c r="D58" s="583">
        <f>+D50</f>
        <v>50000</v>
      </c>
      <c r="E58" s="624">
        <f>ROUND(C58*D58,0)</f>
        <v>27750</v>
      </c>
      <c r="G58" s="777" t="s">
        <v>2704</v>
      </c>
      <c r="H58" s="777" t="s">
        <v>2705</v>
      </c>
      <c r="I58" s="755">
        <v>6</v>
      </c>
      <c r="J58" s="755">
        <v>27.5</v>
      </c>
      <c r="K58" s="755">
        <v>36</v>
      </c>
      <c r="L58" s="759">
        <f>+I58/6</f>
        <v>1</v>
      </c>
      <c r="M58" s="755" t="s">
        <v>2710</v>
      </c>
    </row>
    <row r="59" spans="1:21" ht="13.5" thickBot="1" x14ac:dyDescent="0.25">
      <c r="A59" s="623" t="s">
        <v>939</v>
      </c>
      <c r="B59" s="581" t="s">
        <v>938</v>
      </c>
      <c r="C59" s="582">
        <v>0.92</v>
      </c>
      <c r="D59" s="583">
        <f>+D51</f>
        <v>50000</v>
      </c>
      <c r="E59" s="624">
        <f>ROUND(C59*D59,0)</f>
        <v>46000</v>
      </c>
      <c r="G59" s="447" t="s">
        <v>2706</v>
      </c>
      <c r="H59" s="757" t="s">
        <v>2707</v>
      </c>
      <c r="I59" s="447">
        <v>20.5</v>
      </c>
      <c r="J59" s="447">
        <v>25.37</v>
      </c>
      <c r="K59" s="447">
        <v>36</v>
      </c>
      <c r="L59" s="781">
        <f>+I59/6</f>
        <v>3.4166666666666665</v>
      </c>
      <c r="M59" s="755" t="s">
        <v>2710</v>
      </c>
      <c r="O59" s="733"/>
      <c r="P59" s="734"/>
      <c r="Q59" s="735">
        <f>SUM(Q55:Q58)</f>
        <v>0</v>
      </c>
      <c r="R59" s="735">
        <f>SUM(R55:R58)</f>
        <v>0</v>
      </c>
      <c r="S59" s="735">
        <f>SUM(S55:S58)</f>
        <v>0</v>
      </c>
      <c r="T59" s="735">
        <f>SUM(T55:T58)</f>
        <v>0</v>
      </c>
    </row>
    <row r="60" spans="1:21" ht="13.5" thickBot="1" x14ac:dyDescent="0.25">
      <c r="A60" s="505" t="s">
        <v>940</v>
      </c>
      <c r="B60" s="585" t="s">
        <v>938</v>
      </c>
      <c r="C60" s="523">
        <v>0.13</v>
      </c>
      <c r="D60" s="586">
        <f>+D52</f>
        <v>1065</v>
      </c>
      <c r="E60" s="587">
        <f>ROUND(C60*D60,0)</f>
        <v>138</v>
      </c>
      <c r="G60" s="447"/>
      <c r="H60" s="757"/>
      <c r="I60" s="447"/>
      <c r="J60" s="447"/>
      <c r="K60" s="447"/>
      <c r="L60" s="775"/>
      <c r="O60" s="733"/>
      <c r="P60" s="733"/>
      <c r="Q60" s="734"/>
      <c r="R60" s="735">
        <f>SUM(R56:R59)</f>
        <v>0</v>
      </c>
      <c r="S60" s="735">
        <f>SUM(S56:S59)</f>
        <v>0</v>
      </c>
      <c r="T60" s="735">
        <f>SUM(T56:T59)</f>
        <v>0</v>
      </c>
      <c r="U60" s="735">
        <f>SUM(U56:U59)</f>
        <v>0</v>
      </c>
    </row>
    <row r="61" spans="1:21" ht="13.5" thickBot="1" x14ac:dyDescent="0.25">
      <c r="A61" s="588" t="s">
        <v>941</v>
      </c>
      <c r="B61" s="589"/>
      <c r="C61" s="589"/>
      <c r="D61" s="590"/>
      <c r="E61" s="591" t="e">
        <f>SUM(E57:E60)</f>
        <v>#REF!</v>
      </c>
      <c r="G61" s="447"/>
      <c r="H61" s="757"/>
      <c r="I61" s="447"/>
      <c r="J61" s="447"/>
      <c r="K61" s="447"/>
      <c r="L61" s="775">
        <f>+I61/6</f>
        <v>0</v>
      </c>
      <c r="M61" s="782">
        <f>SUM(M57:M59)</f>
        <v>0</v>
      </c>
      <c r="O61" s="733"/>
      <c r="P61" s="733"/>
      <c r="Q61" s="734"/>
      <c r="R61" s="736"/>
      <c r="S61" s="736"/>
      <c r="T61" s="736"/>
      <c r="U61" s="736"/>
    </row>
    <row r="62" spans="1:21" ht="13.5" thickBot="1" x14ac:dyDescent="0.25">
      <c r="G62" s="764" t="s">
        <v>1532</v>
      </c>
      <c r="H62" s="734"/>
      <c r="I62" s="765" t="s">
        <v>1523</v>
      </c>
      <c r="J62" s="766" t="s">
        <v>1524</v>
      </c>
      <c r="K62" s="767" t="s">
        <v>1525</v>
      </c>
      <c r="L62" s="768" t="s">
        <v>1526</v>
      </c>
      <c r="O62" s="737" t="s">
        <v>1532</v>
      </c>
      <c r="P62" s="733"/>
      <c r="Q62" s="734"/>
      <c r="R62" s="735">
        <f>SUM(R58:R61)</f>
        <v>0</v>
      </c>
      <c r="S62" s="735">
        <f>SUM(S58:S61)</f>
        <v>0</v>
      </c>
      <c r="T62" s="735">
        <f>SUM(T58:T61)</f>
        <v>0</v>
      </c>
      <c r="U62" s="735">
        <f>SUM(U58:U61)</f>
        <v>0</v>
      </c>
    </row>
    <row r="63" spans="1:21" ht="15" thickBot="1" x14ac:dyDescent="0.25">
      <c r="A63" s="1984" t="s">
        <v>953</v>
      </c>
      <c r="B63" s="1985"/>
      <c r="C63" s="1985"/>
      <c r="D63" s="1985"/>
      <c r="E63" s="1986"/>
      <c r="G63" s="738" t="e">
        <f>SUM(I69:L69,0)</f>
        <v>#N/A</v>
      </c>
      <c r="H63" s="734"/>
      <c r="I63" s="437" t="e">
        <f>+I69</f>
        <v>#N/A</v>
      </c>
      <c r="J63" s="437">
        <f>+J69</f>
        <v>0</v>
      </c>
      <c r="K63" s="437">
        <f>+K69</f>
        <v>0</v>
      </c>
      <c r="L63" s="437">
        <f>+L69</f>
        <v>0</v>
      </c>
      <c r="O63" s="738" t="e">
        <f>SUM(Q69:T69,0)</f>
        <v>#N/A</v>
      </c>
      <c r="P63" s="733"/>
      <c r="Q63" s="734"/>
      <c r="R63" s="736"/>
      <c r="S63" s="736"/>
      <c r="T63" s="736"/>
      <c r="U63" s="736"/>
    </row>
    <row r="64" spans="1:21" ht="15" thickBot="1" x14ac:dyDescent="0.25">
      <c r="A64" s="572" t="s">
        <v>930</v>
      </c>
      <c r="B64" s="573" t="s">
        <v>931</v>
      </c>
      <c r="C64" s="573" t="s">
        <v>932</v>
      </c>
      <c r="D64" s="573" t="s">
        <v>933</v>
      </c>
      <c r="E64" s="574" t="s">
        <v>934</v>
      </c>
      <c r="G64" s="452" t="s">
        <v>1522</v>
      </c>
      <c r="H64" s="453" t="s">
        <v>932</v>
      </c>
      <c r="I64" s="454" t="s">
        <v>1523</v>
      </c>
      <c r="J64" s="452" t="s">
        <v>1524</v>
      </c>
      <c r="K64" s="455" t="s">
        <v>1525</v>
      </c>
      <c r="L64" s="456" t="s">
        <v>1526</v>
      </c>
      <c r="O64" s="452" t="s">
        <v>1522</v>
      </c>
      <c r="P64" s="738">
        <f>SUM(R70:U70,0)</f>
        <v>0</v>
      </c>
      <c r="Q64" s="734"/>
      <c r="R64" s="437">
        <f>+R70</f>
        <v>0</v>
      </c>
      <c r="S64" s="437">
        <f>+S70</f>
        <v>0</v>
      </c>
      <c r="T64" s="437">
        <f>+T70</f>
        <v>0</v>
      </c>
      <c r="U64" s="437">
        <f>+U70</f>
        <v>0</v>
      </c>
    </row>
    <row r="65" spans="1:21" ht="13.5" thickBot="1" x14ac:dyDescent="0.25">
      <c r="A65" s="621" t="s">
        <v>935</v>
      </c>
      <c r="B65" s="576" t="s">
        <v>936</v>
      </c>
      <c r="C65" s="577">
        <v>300</v>
      </c>
      <c r="D65" s="578" t="e">
        <f>+D8</f>
        <v>#REF!</v>
      </c>
      <c r="E65" s="622" t="e">
        <f>ROUND(C65*D65,0)</f>
        <v>#REF!</v>
      </c>
      <c r="G65" s="443" t="e">
        <v>#REF!</v>
      </c>
      <c r="H65" s="441">
        <v>1</v>
      </c>
      <c r="I65" s="466" t="e">
        <f>+ROUND(G65*H65,0)</f>
        <v>#REF!</v>
      </c>
      <c r="J65" s="443">
        <v>0</v>
      </c>
      <c r="K65" s="443">
        <v>0</v>
      </c>
      <c r="L65" s="445">
        <v>0</v>
      </c>
      <c r="O65" s="443" t="e">
        <v>#N/A</v>
      </c>
      <c r="P65" s="452" t="s">
        <v>1522</v>
      </c>
      <c r="Q65" s="453" t="s">
        <v>932</v>
      </c>
      <c r="R65" s="454" t="s">
        <v>1523</v>
      </c>
      <c r="S65" s="452" t="s">
        <v>1524</v>
      </c>
      <c r="T65" s="455" t="s">
        <v>1525</v>
      </c>
      <c r="U65" s="456" t="s">
        <v>1526</v>
      </c>
    </row>
    <row r="66" spans="1:21" x14ac:dyDescent="0.2">
      <c r="A66" s="623" t="s">
        <v>937</v>
      </c>
      <c r="B66" s="581" t="s">
        <v>938</v>
      </c>
      <c r="C66" s="582">
        <v>0.72</v>
      </c>
      <c r="D66" s="583">
        <f>+D9</f>
        <v>50000</v>
      </c>
      <c r="E66" s="624">
        <f>ROUND(C66*D66,0)</f>
        <v>36000</v>
      </c>
      <c r="G66" s="447" t="s">
        <v>2697</v>
      </c>
      <c r="H66" s="446">
        <v>0.91</v>
      </c>
      <c r="I66" s="739" t="e">
        <f>+H66*G66</f>
        <v>#VALUE!</v>
      </c>
      <c r="J66" s="447" t="s">
        <v>2698</v>
      </c>
      <c r="K66" s="447">
        <v>0</v>
      </c>
      <c r="L66" s="740">
        <v>0</v>
      </c>
      <c r="O66" s="447" t="e">
        <v>#N/A</v>
      </c>
      <c r="P66" s="443" t="e">
        <v>#N/A</v>
      </c>
      <c r="Q66" s="441">
        <v>1</v>
      </c>
      <c r="R66" s="466" t="e">
        <f>+ROUND(P66*Q66,0)</f>
        <v>#N/A</v>
      </c>
      <c r="S66" s="443">
        <v>0</v>
      </c>
      <c r="T66" s="443">
        <v>0</v>
      </c>
      <c r="U66" s="445">
        <v>0</v>
      </c>
    </row>
    <row r="67" spans="1:21" x14ac:dyDescent="0.2">
      <c r="A67" s="623" t="s">
        <v>939</v>
      </c>
      <c r="B67" s="581" t="s">
        <v>938</v>
      </c>
      <c r="C67" s="582">
        <v>0.72</v>
      </c>
      <c r="D67" s="583">
        <f>+D10</f>
        <v>50000</v>
      </c>
      <c r="E67" s="624">
        <f>ROUND(C67*D67,0)</f>
        <v>36000</v>
      </c>
      <c r="G67" s="447" t="e">
        <v>#N/A</v>
      </c>
      <c r="H67" s="446">
        <v>0.22600000000000001</v>
      </c>
      <c r="I67" s="739">
        <v>0</v>
      </c>
      <c r="J67" s="447" t="e">
        <f>+H67*G67</f>
        <v>#N/A</v>
      </c>
      <c r="K67" s="447">
        <v>0</v>
      </c>
      <c r="L67" s="740">
        <v>0</v>
      </c>
      <c r="O67" s="447" t="e">
        <v>#N/A</v>
      </c>
      <c r="P67" s="447" t="e">
        <v>#N/A</v>
      </c>
      <c r="Q67" s="446">
        <v>0.91</v>
      </c>
      <c r="R67" s="739" t="e">
        <f>+Q67*P67</f>
        <v>#N/A</v>
      </c>
      <c r="S67" s="447">
        <v>0</v>
      </c>
      <c r="T67" s="447">
        <v>0</v>
      </c>
      <c r="U67" s="740">
        <v>0</v>
      </c>
    </row>
    <row r="68" spans="1:21" ht="13.5" thickBot="1" x14ac:dyDescent="0.25">
      <c r="A68" s="505" t="s">
        <v>940</v>
      </c>
      <c r="B68" s="585" t="s">
        <v>938</v>
      </c>
      <c r="C68" s="523">
        <v>0.14499999999999999</v>
      </c>
      <c r="D68" s="586">
        <f>+D11</f>
        <v>1065</v>
      </c>
      <c r="E68" s="587">
        <f>ROUND(C68*D68,0)</f>
        <v>154</v>
      </c>
      <c r="G68" s="472" t="s">
        <v>2699</v>
      </c>
      <c r="H68" s="439">
        <v>0.88</v>
      </c>
      <c r="I68" s="741" t="s">
        <v>2700</v>
      </c>
      <c r="J68" s="472">
        <v>0</v>
      </c>
      <c r="K68" s="472" t="e">
        <f>+H68*G68</f>
        <v>#VALUE!</v>
      </c>
      <c r="L68" s="742">
        <v>0</v>
      </c>
      <c r="O68" s="472" t="e">
        <v>#N/A</v>
      </c>
      <c r="P68" s="447" t="e">
        <v>#N/A</v>
      </c>
      <c r="Q68" s="446">
        <v>0.22600000000000001</v>
      </c>
      <c r="R68" s="739">
        <v>0</v>
      </c>
      <c r="S68" s="447" t="e">
        <f>+Q68*P68</f>
        <v>#N/A</v>
      </c>
      <c r="T68" s="447">
        <v>0</v>
      </c>
      <c r="U68" s="740">
        <v>0</v>
      </c>
    </row>
    <row r="69" spans="1:21" ht="13.5" thickBot="1" x14ac:dyDescent="0.25">
      <c r="A69" s="588" t="s">
        <v>941</v>
      </c>
      <c r="B69" s="589"/>
      <c r="C69" s="589"/>
      <c r="D69" s="590"/>
      <c r="E69" s="591" t="e">
        <f>SUM(E65:E68)</f>
        <v>#REF!</v>
      </c>
      <c r="G69" s="447" t="e">
        <v>#N/A</v>
      </c>
      <c r="H69" s="446">
        <v>0.91</v>
      </c>
      <c r="I69" s="739" t="e">
        <f>+H69*G69</f>
        <v>#N/A</v>
      </c>
      <c r="J69" s="447">
        <v>0</v>
      </c>
      <c r="K69" s="447">
        <v>0</v>
      </c>
      <c r="L69" s="740">
        <v>0</v>
      </c>
      <c r="P69" s="472" t="e">
        <v>#N/A</v>
      </c>
      <c r="Q69" s="439">
        <v>0.88</v>
      </c>
      <c r="R69" s="741">
        <v>0</v>
      </c>
      <c r="S69" s="472">
        <v>0</v>
      </c>
      <c r="T69" s="472" t="e">
        <f>+Q69*P69</f>
        <v>#N/A</v>
      </c>
      <c r="U69" s="742">
        <v>0</v>
      </c>
    </row>
    <row r="70" spans="1:21" x14ac:dyDescent="0.2">
      <c r="G70" s="447" t="e">
        <v>#N/A</v>
      </c>
      <c r="H70" s="446">
        <v>0.22600000000000001</v>
      </c>
      <c r="I70" s="739">
        <v>0</v>
      </c>
      <c r="J70" s="447" t="e">
        <f>+H70*G70</f>
        <v>#N/A</v>
      </c>
      <c r="K70" s="447">
        <v>0</v>
      </c>
      <c r="L70" s="740">
        <v>0</v>
      </c>
    </row>
    <row r="71" spans="1:21" ht="13.5" thickBot="1" x14ac:dyDescent="0.25">
      <c r="G71" s="472"/>
      <c r="H71" s="439"/>
      <c r="I71" s="741"/>
      <c r="J71" s="472">
        <v>0</v>
      </c>
      <c r="K71" s="472">
        <f>+H71*G71</f>
        <v>0</v>
      </c>
      <c r="L71" s="742">
        <v>0</v>
      </c>
    </row>
    <row r="72" spans="1:21" ht="13.5" thickBot="1" x14ac:dyDescent="0.25">
      <c r="A72" s="1984" t="s">
        <v>954</v>
      </c>
      <c r="B72" s="1985"/>
      <c r="C72" s="1985"/>
      <c r="D72" s="1985"/>
      <c r="E72" s="1986"/>
    </row>
    <row r="73" spans="1:21" ht="13.5" thickBot="1" x14ac:dyDescent="0.25">
      <c r="A73" s="572" t="s">
        <v>930</v>
      </c>
      <c r="B73" s="573" t="s">
        <v>931</v>
      </c>
      <c r="C73" s="573" t="s">
        <v>932</v>
      </c>
      <c r="D73" s="573" t="s">
        <v>933</v>
      </c>
      <c r="E73" s="574" t="s">
        <v>934</v>
      </c>
    </row>
    <row r="74" spans="1:21" x14ac:dyDescent="0.2">
      <c r="A74" s="575" t="s">
        <v>955</v>
      </c>
      <c r="B74" s="576" t="s">
        <v>938</v>
      </c>
      <c r="C74" s="577">
        <v>0.75</v>
      </c>
      <c r="D74" s="578" t="e">
        <f>+E44</f>
        <v>#REF!</v>
      </c>
      <c r="E74" s="579" t="e">
        <f>ROUND(C74*D74,0)</f>
        <v>#REF!</v>
      </c>
    </row>
    <row r="75" spans="1:21" ht="13.5" thickBot="1" x14ac:dyDescent="0.25">
      <c r="A75" s="580" t="s">
        <v>956</v>
      </c>
      <c r="B75" s="581" t="s">
        <v>938</v>
      </c>
      <c r="C75" s="582">
        <v>0.5</v>
      </c>
      <c r="D75" s="583">
        <v>50000</v>
      </c>
      <c r="E75" s="584">
        <f>ROUND(C75*D75,0)</f>
        <v>25000</v>
      </c>
    </row>
    <row r="76" spans="1:21" ht="13.5" thickBot="1" x14ac:dyDescent="0.25">
      <c r="A76" s="588" t="s">
        <v>941</v>
      </c>
      <c r="B76" s="589"/>
      <c r="C76" s="589"/>
      <c r="D76" s="590"/>
      <c r="E76" s="591" t="e">
        <f>SUM(E74:E75)</f>
        <v>#REF!</v>
      </c>
    </row>
    <row r="77" spans="1:21" ht="13.5" thickBot="1" x14ac:dyDescent="0.25"/>
    <row r="78" spans="1:21" ht="13.5" thickBot="1" x14ac:dyDescent="0.25">
      <c r="A78" s="1984" t="s">
        <v>957</v>
      </c>
      <c r="B78" s="1985"/>
      <c r="C78" s="1985"/>
      <c r="D78" s="1985"/>
      <c r="E78" s="1986"/>
    </row>
    <row r="79" spans="1:21" ht="13.5" thickBot="1" x14ac:dyDescent="0.25">
      <c r="A79" s="572" t="s">
        <v>930</v>
      </c>
      <c r="B79" s="573" t="s">
        <v>931</v>
      </c>
      <c r="C79" s="573" t="s">
        <v>932</v>
      </c>
      <c r="D79" s="573" t="s">
        <v>933</v>
      </c>
      <c r="E79" s="574" t="s">
        <v>934</v>
      </c>
    </row>
    <row r="80" spans="1:21" x14ac:dyDescent="0.2">
      <c r="A80" s="612" t="s">
        <v>935</v>
      </c>
      <c r="B80" s="613" t="s">
        <v>936</v>
      </c>
      <c r="C80" s="614">
        <v>420</v>
      </c>
      <c r="D80" s="578" t="e">
        <f>+D65</f>
        <v>#REF!</v>
      </c>
      <c r="E80" s="579" t="e">
        <f>ROUND(C80*D80,0)</f>
        <v>#REF!</v>
      </c>
    </row>
    <row r="81" spans="1:5" x14ac:dyDescent="0.2">
      <c r="A81" s="615" t="s">
        <v>937</v>
      </c>
      <c r="B81" s="616" t="s">
        <v>938</v>
      </c>
      <c r="C81" s="617">
        <v>0.67</v>
      </c>
      <c r="D81" s="583">
        <f>+D66</f>
        <v>50000</v>
      </c>
      <c r="E81" s="584">
        <f>ROUND(C81*D81,0)</f>
        <v>33500</v>
      </c>
    </row>
    <row r="82" spans="1:5" x14ac:dyDescent="0.2">
      <c r="A82" s="615" t="s">
        <v>939</v>
      </c>
      <c r="B82" s="616" t="s">
        <v>938</v>
      </c>
      <c r="C82" s="617">
        <v>0.67</v>
      </c>
      <c r="D82" s="583">
        <f>+D67</f>
        <v>50000</v>
      </c>
      <c r="E82" s="584">
        <f>ROUND(C82*D82,0)</f>
        <v>33500</v>
      </c>
    </row>
    <row r="83" spans="1:5" ht="13.5" thickBot="1" x14ac:dyDescent="0.25">
      <c r="A83" s="618" t="s">
        <v>940</v>
      </c>
      <c r="B83" s="619" t="s">
        <v>938</v>
      </c>
      <c r="C83" s="620">
        <v>0.18</v>
      </c>
      <c r="D83" s="586">
        <f>+D68</f>
        <v>1065</v>
      </c>
      <c r="E83" s="587">
        <f>ROUND(C83*D83,0)</f>
        <v>192</v>
      </c>
    </row>
    <row r="84" spans="1:5" ht="13.5" thickBot="1" x14ac:dyDescent="0.25">
      <c r="A84" s="588" t="s">
        <v>941</v>
      </c>
      <c r="B84" s="589"/>
      <c r="C84" s="589"/>
      <c r="D84" s="590"/>
      <c r="E84" s="591" t="e">
        <f>SUM(E80:E83)</f>
        <v>#REF!</v>
      </c>
    </row>
    <row r="85" spans="1:5" ht="13.5" thickBot="1" x14ac:dyDescent="0.25"/>
    <row r="86" spans="1:5" ht="13.5" thickBot="1" x14ac:dyDescent="0.25">
      <c r="A86" s="1984" t="s">
        <v>958</v>
      </c>
      <c r="B86" s="1985"/>
      <c r="C86" s="1985"/>
      <c r="D86" s="1985"/>
      <c r="E86" s="1986"/>
    </row>
    <row r="87" spans="1:5" ht="13.5" thickBot="1" x14ac:dyDescent="0.25">
      <c r="A87" s="572" t="s">
        <v>930</v>
      </c>
      <c r="B87" s="573" t="s">
        <v>931</v>
      </c>
      <c r="C87" s="573" t="s">
        <v>932</v>
      </c>
      <c r="D87" s="573" t="s">
        <v>933</v>
      </c>
      <c r="E87" s="574" t="s">
        <v>934</v>
      </c>
    </row>
    <row r="88" spans="1:5" x14ac:dyDescent="0.2">
      <c r="A88" s="575" t="s">
        <v>935</v>
      </c>
      <c r="B88" s="576" t="s">
        <v>936</v>
      </c>
      <c r="C88" s="577">
        <v>454</v>
      </c>
      <c r="D88" s="578" t="e">
        <f>+D8</f>
        <v>#REF!</v>
      </c>
      <c r="E88" s="579" t="e">
        <f>ROUND(C88*D88,0)</f>
        <v>#REF!</v>
      </c>
    </row>
    <row r="89" spans="1:5" x14ac:dyDescent="0.2">
      <c r="A89" s="580" t="s">
        <v>937</v>
      </c>
      <c r="B89" s="581" t="s">
        <v>938</v>
      </c>
      <c r="C89" s="582">
        <v>1.0900000000000001</v>
      </c>
      <c r="D89" s="583">
        <f>+D9</f>
        <v>50000</v>
      </c>
      <c r="E89" s="584">
        <f>ROUND(C89*D89,0)</f>
        <v>54500</v>
      </c>
    </row>
    <row r="90" spans="1:5" x14ac:dyDescent="0.2">
      <c r="A90" s="625" t="s">
        <v>940</v>
      </c>
      <c r="B90" s="626" t="s">
        <v>938</v>
      </c>
      <c r="C90" s="627">
        <v>0.19</v>
      </c>
      <c r="D90" s="628">
        <f>+D11</f>
        <v>1065</v>
      </c>
      <c r="E90" s="629">
        <f>ROUND(C90*D90,0)</f>
        <v>202</v>
      </c>
    </row>
    <row r="91" spans="1:5" ht="13.5" thickBot="1" x14ac:dyDescent="0.25">
      <c r="A91" s="630" t="s">
        <v>941</v>
      </c>
      <c r="B91" s="631"/>
      <c r="C91" s="631"/>
      <c r="D91" s="632"/>
      <c r="E91" s="633" t="e">
        <f>SUM(E88:E90)</f>
        <v>#REF!</v>
      </c>
    </row>
    <row r="93" spans="1:5" ht="13.5" thickBot="1" x14ac:dyDescent="0.25"/>
    <row r="94" spans="1:5" ht="13.5" thickBot="1" x14ac:dyDescent="0.25">
      <c r="A94" s="1984" t="s">
        <v>959</v>
      </c>
      <c r="B94" s="1985"/>
      <c r="C94" s="1985"/>
      <c r="D94" s="1985"/>
      <c r="E94" s="1986"/>
    </row>
    <row r="95" spans="1:5" ht="13.5" thickBot="1" x14ac:dyDescent="0.25">
      <c r="A95" s="572" t="s">
        <v>930</v>
      </c>
      <c r="B95" s="573" t="s">
        <v>931</v>
      </c>
      <c r="C95" s="573" t="s">
        <v>932</v>
      </c>
      <c r="D95" s="573" t="s">
        <v>933</v>
      </c>
      <c r="E95" s="574" t="s">
        <v>934</v>
      </c>
    </row>
    <row r="96" spans="1:5" x14ac:dyDescent="0.2">
      <c r="A96" s="575" t="s">
        <v>935</v>
      </c>
      <c r="B96" s="576" t="s">
        <v>936</v>
      </c>
      <c r="C96" s="577">
        <v>610</v>
      </c>
      <c r="D96" s="578" t="e">
        <f>+D16</f>
        <v>#REF!</v>
      </c>
      <c r="E96" s="579" t="e">
        <f>ROUND(C96*D96,0)</f>
        <v>#REF!</v>
      </c>
    </row>
    <row r="97" spans="1:5" x14ac:dyDescent="0.2">
      <c r="A97" s="580" t="s">
        <v>937</v>
      </c>
      <c r="B97" s="581" t="s">
        <v>938</v>
      </c>
      <c r="C97" s="582">
        <v>0.97</v>
      </c>
      <c r="D97" s="583">
        <f>+D89</f>
        <v>50000</v>
      </c>
      <c r="E97" s="584">
        <f>ROUND(C97*D97,0)</f>
        <v>48500</v>
      </c>
    </row>
    <row r="98" spans="1:5" x14ac:dyDescent="0.2">
      <c r="A98" s="625" t="s">
        <v>940</v>
      </c>
      <c r="B98" s="626" t="s">
        <v>938</v>
      </c>
      <c r="C98" s="627">
        <v>0.19</v>
      </c>
      <c r="D98" s="628">
        <f>+D90</f>
        <v>1065</v>
      </c>
      <c r="E98" s="629">
        <f>ROUND(C98*D98,0)</f>
        <v>202</v>
      </c>
    </row>
    <row r="99" spans="1:5" ht="13.5" thickBot="1" x14ac:dyDescent="0.25">
      <c r="A99" s="630" t="s">
        <v>941</v>
      </c>
      <c r="B99" s="631"/>
      <c r="C99" s="631"/>
      <c r="D99" s="632"/>
      <c r="E99" s="633" t="e">
        <f>SUM(E96:E98)</f>
        <v>#REF!</v>
      </c>
    </row>
    <row r="101" spans="1:5" ht="13.5" thickBot="1" x14ac:dyDescent="0.25"/>
    <row r="102" spans="1:5" ht="13.5" thickBot="1" x14ac:dyDescent="0.25">
      <c r="A102" s="1984" t="s">
        <v>960</v>
      </c>
      <c r="B102" s="1985"/>
      <c r="C102" s="1985"/>
      <c r="D102" s="1985"/>
      <c r="E102" s="1986"/>
    </row>
    <row r="103" spans="1:5" ht="13.5" thickBot="1" x14ac:dyDescent="0.25">
      <c r="A103" s="572" t="s">
        <v>930</v>
      </c>
      <c r="B103" s="573" t="s">
        <v>931</v>
      </c>
      <c r="C103" s="573" t="s">
        <v>932</v>
      </c>
      <c r="D103" s="573" t="s">
        <v>933</v>
      </c>
      <c r="E103" s="574" t="s">
        <v>934</v>
      </c>
    </row>
    <row r="104" spans="1:5" x14ac:dyDescent="0.2">
      <c r="A104" s="575" t="s">
        <v>935</v>
      </c>
      <c r="B104" s="576" t="s">
        <v>936</v>
      </c>
      <c r="C104" s="577">
        <v>302</v>
      </c>
      <c r="D104" s="578" t="e">
        <f>+D96</f>
        <v>#REF!</v>
      </c>
      <c r="E104" s="579" t="e">
        <f>ROUND(C104*D104,0)</f>
        <v>#REF!</v>
      </c>
    </row>
    <row r="105" spans="1:5" x14ac:dyDescent="0.2">
      <c r="A105" s="580" t="s">
        <v>937</v>
      </c>
      <c r="B105" s="581" t="s">
        <v>938</v>
      </c>
      <c r="C105" s="582">
        <v>1.2</v>
      </c>
      <c r="D105" s="583">
        <f>+D97</f>
        <v>50000</v>
      </c>
      <c r="E105" s="584">
        <f>ROUND(C105*D105,0)</f>
        <v>60000</v>
      </c>
    </row>
    <row r="106" spans="1:5" x14ac:dyDescent="0.2">
      <c r="A106" s="625" t="s">
        <v>940</v>
      </c>
      <c r="B106" s="626" t="s">
        <v>938</v>
      </c>
      <c r="C106" s="627">
        <v>0.16</v>
      </c>
      <c r="D106" s="628">
        <f>+D98</f>
        <v>1065</v>
      </c>
      <c r="E106" s="629">
        <f>ROUND(C106*D106,0)</f>
        <v>170</v>
      </c>
    </row>
    <row r="107" spans="1:5" ht="13.5" thickBot="1" x14ac:dyDescent="0.25">
      <c r="A107" s="630" t="s">
        <v>941</v>
      </c>
      <c r="B107" s="631"/>
      <c r="C107" s="631"/>
      <c r="D107" s="632"/>
      <c r="E107" s="633" t="e">
        <f>SUM(E104:E106)</f>
        <v>#REF!</v>
      </c>
    </row>
  </sheetData>
  <mergeCells count="21">
    <mergeCell ref="M55:M56"/>
    <mergeCell ref="G52:M54"/>
    <mergeCell ref="A1:E1"/>
    <mergeCell ref="A2:E2"/>
    <mergeCell ref="A3:E3"/>
    <mergeCell ref="A4:E4"/>
    <mergeCell ref="A6:E6"/>
    <mergeCell ref="L55:L56"/>
    <mergeCell ref="A94:E94"/>
    <mergeCell ref="A102:E102"/>
    <mergeCell ref="G14:K14"/>
    <mergeCell ref="A26:E26"/>
    <mergeCell ref="A38:E38"/>
    <mergeCell ref="A47:E47"/>
    <mergeCell ref="A55:E55"/>
    <mergeCell ref="G55:H55"/>
    <mergeCell ref="A63:E63"/>
    <mergeCell ref="A14:E14"/>
    <mergeCell ref="A72:E72"/>
    <mergeCell ref="A78:E78"/>
    <mergeCell ref="A86:E86"/>
  </mergeCells>
  <pageMargins left="0.75" right="0.75" top="1" bottom="1" header="0" footer="0"/>
  <pageSetup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</sheetPr>
  <dimension ref="A1:AI2000"/>
  <sheetViews>
    <sheetView view="pageBreakPreview" topLeftCell="A4" zoomScale="70" zoomScaleNormal="100" zoomScaleSheetLayoutView="70" zoomScalePageLayoutView="40" workbookViewId="0">
      <selection activeCell="B37" sqref="B37"/>
    </sheetView>
  </sheetViews>
  <sheetFormatPr baseColWidth="10" defaultRowHeight="12.75" x14ac:dyDescent="0.2"/>
  <cols>
    <col min="1" max="1" width="8.28515625" style="152" customWidth="1"/>
    <col min="2" max="2" width="87.140625" style="131" customWidth="1"/>
    <col min="3" max="3" width="8" style="131" bestFit="1" customWidth="1"/>
    <col min="4" max="4" width="12.140625" style="1087" bestFit="1" customWidth="1"/>
    <col min="5" max="5" width="12.85546875" style="1153" customWidth="1"/>
    <col min="6" max="6" width="14.140625" style="157" customWidth="1"/>
    <col min="7" max="7" width="13" style="1138" bestFit="1" customWidth="1"/>
    <col min="8" max="8" width="17.42578125" style="339" customWidth="1"/>
    <col min="9" max="9" width="23" style="131" hidden="1" customWidth="1"/>
    <col min="10" max="10" width="25.28515625" style="131" hidden="1" customWidth="1"/>
    <col min="11" max="11" width="0.140625" style="131" hidden="1" customWidth="1"/>
    <col min="12" max="12" width="9" style="1157" customWidth="1"/>
    <col min="13" max="28" width="15.28515625" style="1157" customWidth="1"/>
    <col min="29" max="29" width="16.5703125" style="121" customWidth="1"/>
    <col min="30" max="30" width="22.28515625" style="131" customWidth="1"/>
    <col min="31" max="32" width="3.42578125" style="131" customWidth="1"/>
    <col min="33" max="34" width="16.5703125" style="131" bestFit="1" customWidth="1"/>
    <col min="35" max="35" width="20.28515625" style="131" customWidth="1"/>
    <col min="36" max="16384" width="11.42578125" style="131"/>
  </cols>
  <sheetData>
    <row r="1" spans="1:35" ht="76.5" customHeight="1" x14ac:dyDescent="0.25">
      <c r="A1" s="1672"/>
      <c r="B1" s="1673"/>
      <c r="C1" s="1673"/>
      <c r="D1" s="1673"/>
      <c r="E1" s="1673"/>
      <c r="F1" s="1673"/>
      <c r="G1" s="1673"/>
      <c r="H1" s="1673"/>
      <c r="I1" s="1673"/>
      <c r="J1" s="1673"/>
      <c r="K1" s="1673"/>
      <c r="L1" s="1674"/>
      <c r="M1" s="1663" t="s">
        <v>2934</v>
      </c>
      <c r="N1" s="1664"/>
      <c r="O1" s="1664"/>
      <c r="P1" s="1664"/>
      <c r="Q1" s="1664"/>
      <c r="R1" s="1664"/>
      <c r="S1" s="1664"/>
      <c r="T1" s="1664"/>
      <c r="U1" s="1664"/>
      <c r="V1" s="1664"/>
      <c r="W1" s="1664"/>
      <c r="X1" s="1664"/>
      <c r="Y1" s="1664"/>
      <c r="Z1" s="1664"/>
      <c r="AA1" s="1664"/>
      <c r="AB1" s="1665"/>
      <c r="AC1" s="1371"/>
    </row>
    <row r="2" spans="1:35" ht="36" customHeight="1" x14ac:dyDescent="0.2">
      <c r="A2" s="1669" t="s">
        <v>2947</v>
      </c>
      <c r="B2" s="1670"/>
      <c r="C2" s="1670"/>
      <c r="D2" s="1670"/>
      <c r="E2" s="1670"/>
      <c r="F2" s="1670"/>
      <c r="G2" s="1670"/>
      <c r="H2" s="1670"/>
      <c r="I2" s="338"/>
      <c r="J2" s="338"/>
      <c r="K2" s="338"/>
      <c r="L2" s="1657" t="s">
        <v>2862</v>
      </c>
      <c r="M2" s="1666" t="s">
        <v>2935</v>
      </c>
      <c r="N2" s="1667"/>
      <c r="O2" s="1667"/>
      <c r="P2" s="1667"/>
      <c r="Q2" s="1667"/>
      <c r="R2" s="1667"/>
      <c r="S2" s="1667"/>
      <c r="T2" s="1667"/>
      <c r="U2" s="1667"/>
      <c r="V2" s="1667"/>
      <c r="W2" s="1667"/>
      <c r="X2" s="1667"/>
      <c r="Y2" s="1667"/>
      <c r="Z2" s="1667"/>
      <c r="AA2" s="1667"/>
      <c r="AB2" s="1668"/>
      <c r="AC2" s="1371"/>
    </row>
    <row r="3" spans="1:35" ht="18" customHeight="1" x14ac:dyDescent="0.25">
      <c r="A3" s="1658"/>
      <c r="B3" s="1659"/>
      <c r="C3" s="1659"/>
      <c r="D3" s="1659"/>
      <c r="E3" s="1659"/>
      <c r="F3" s="1659"/>
      <c r="G3" s="1659"/>
      <c r="H3" s="1659"/>
      <c r="I3" s="338"/>
      <c r="J3" s="338"/>
      <c r="K3" s="338"/>
      <c r="L3" s="1657"/>
      <c r="M3" s="1666">
        <v>1</v>
      </c>
      <c r="N3" s="1667">
        <v>2</v>
      </c>
      <c r="O3" s="1667">
        <v>3</v>
      </c>
      <c r="P3" s="1667">
        <v>4</v>
      </c>
      <c r="Q3" s="1667">
        <v>5</v>
      </c>
      <c r="R3" s="1667">
        <v>6</v>
      </c>
      <c r="S3" s="1667">
        <v>7</v>
      </c>
      <c r="T3" s="1667">
        <v>8</v>
      </c>
      <c r="U3" s="1667">
        <v>9</v>
      </c>
      <c r="V3" s="1667">
        <v>10</v>
      </c>
      <c r="W3" s="1667">
        <v>11</v>
      </c>
      <c r="X3" s="1667">
        <v>12</v>
      </c>
      <c r="Y3" s="1667">
        <v>13</v>
      </c>
      <c r="Z3" s="1667">
        <v>14</v>
      </c>
      <c r="AA3" s="1667">
        <v>15</v>
      </c>
      <c r="AB3" s="1668">
        <v>16</v>
      </c>
      <c r="AC3" s="1371"/>
    </row>
    <row r="4" spans="1:35" ht="30.75" customHeight="1" x14ac:dyDescent="0.2">
      <c r="A4" s="1344" t="s">
        <v>962</v>
      </c>
      <c r="B4" s="1191" t="s">
        <v>1535</v>
      </c>
      <c r="C4" s="1191" t="s">
        <v>964</v>
      </c>
      <c r="D4" s="1080" t="s">
        <v>1536</v>
      </c>
      <c r="E4" s="1191" t="s">
        <v>2864</v>
      </c>
      <c r="F4" s="1191" t="s">
        <v>1127</v>
      </c>
      <c r="G4" s="1132" t="s">
        <v>1537</v>
      </c>
      <c r="H4" s="1191" t="s">
        <v>1538</v>
      </c>
      <c r="I4" s="338"/>
      <c r="J4" s="338"/>
      <c r="K4" s="338"/>
      <c r="L4" s="1657"/>
      <c r="M4" s="1666"/>
      <c r="N4" s="1667"/>
      <c r="O4" s="1667"/>
      <c r="P4" s="1667"/>
      <c r="Q4" s="1667"/>
      <c r="R4" s="1667"/>
      <c r="S4" s="1667"/>
      <c r="T4" s="1667"/>
      <c r="U4" s="1667"/>
      <c r="V4" s="1667"/>
      <c r="W4" s="1667"/>
      <c r="X4" s="1667"/>
      <c r="Y4" s="1667"/>
      <c r="Z4" s="1667"/>
      <c r="AA4" s="1667"/>
      <c r="AB4" s="1668"/>
      <c r="AC4" s="1371"/>
    </row>
    <row r="5" spans="1:35" ht="15.75" x14ac:dyDescent="0.2">
      <c r="A5" s="1345"/>
      <c r="B5" s="884" t="s">
        <v>1390</v>
      </c>
      <c r="C5" s="884"/>
      <c r="D5" s="1081"/>
      <c r="E5" s="1147"/>
      <c r="F5" s="885"/>
      <c r="G5" s="1133"/>
      <c r="H5" s="884"/>
      <c r="I5" s="338" t="s">
        <v>2130</v>
      </c>
      <c r="J5" s="338" t="s">
        <v>2131</v>
      </c>
      <c r="K5" s="338"/>
      <c r="L5" s="1657"/>
      <c r="M5" s="1386"/>
      <c r="N5" s="1361"/>
      <c r="O5" s="1361"/>
      <c r="P5" s="1361"/>
      <c r="Q5" s="1361"/>
      <c r="R5" s="1361"/>
      <c r="S5" s="1361"/>
      <c r="T5" s="1361"/>
      <c r="U5" s="1361"/>
      <c r="V5" s="1361"/>
      <c r="W5" s="1361"/>
      <c r="X5" s="1361"/>
      <c r="Y5" s="1361"/>
      <c r="Z5" s="1361"/>
      <c r="AA5" s="1361"/>
      <c r="AB5" s="1387"/>
      <c r="AC5" s="1372"/>
    </row>
    <row r="6" spans="1:35" s="1060" customFormat="1" ht="15.75" x14ac:dyDescent="0.2">
      <c r="A6" s="1346" t="s">
        <v>2005</v>
      </c>
      <c r="B6" s="886" t="str">
        <f>VLOOKUP(A6,A.P.U!C:F,2,0)</f>
        <v xml:space="preserve"> Localización y Replanteo de Redes (incluye topografía y plano récord)</v>
      </c>
      <c r="C6" s="887" t="str">
        <f>VLOOKUP(A6,A.P.U!C:F,3,0)</f>
        <v>Ml</v>
      </c>
      <c r="D6" s="1082">
        <f>ROUND(+'Cantidades de obra'!E48+'cant acued'!C11,2)</f>
        <v>909.5</v>
      </c>
      <c r="E6" s="890">
        <f>VLOOKUP(A6,A.P.U!$C:$K,6,0)+VLOOKUP(A6,A.P.U!$C:$K,8,0)+VLOOKUP(A6,A.P.U!$C:$K,9,0)</f>
        <v>1436</v>
      </c>
      <c r="F6" s="1059">
        <f>VLOOKUP(A6,A.P.U!$C:$K,7,0)</f>
        <v>352</v>
      </c>
      <c r="G6" s="1059">
        <f>ROUND(VLOOKUP(A6,A.P.U!C:F,4,0),0)</f>
        <v>1788</v>
      </c>
      <c r="H6" s="1327">
        <f>(D6*G6)</f>
        <v>1626186</v>
      </c>
      <c r="I6" s="1328">
        <f>(D6*G6)</f>
        <v>1626186</v>
      </c>
      <c r="J6" s="1328">
        <v>0</v>
      </c>
      <c r="K6" s="1328">
        <f>+H6-I6</f>
        <v>0</v>
      </c>
      <c r="L6" s="1347">
        <v>1.3</v>
      </c>
      <c r="M6" s="1388"/>
      <c r="N6" s="1366"/>
      <c r="O6" s="1366"/>
      <c r="P6" s="1365"/>
      <c r="Q6" s="1366"/>
      <c r="R6" s="1366"/>
      <c r="S6" s="1365"/>
      <c r="T6" s="1366"/>
      <c r="U6" s="1366"/>
      <c r="V6" s="1365"/>
      <c r="W6" s="1366"/>
      <c r="X6" s="1366"/>
      <c r="Y6" s="1365"/>
      <c r="Z6" s="1366"/>
      <c r="AA6" s="1366"/>
      <c r="AB6" s="1347"/>
      <c r="AC6" s="1373"/>
      <c r="AI6" s="1061"/>
    </row>
    <row r="7" spans="1:35" ht="15.75" x14ac:dyDescent="0.25">
      <c r="A7" s="1348"/>
      <c r="B7" s="1192" t="s">
        <v>2106</v>
      </c>
      <c r="C7" s="1192"/>
      <c r="D7" s="1083"/>
      <c r="E7" s="1148"/>
      <c r="F7" s="889"/>
      <c r="G7" s="1134"/>
      <c r="H7" s="1329"/>
      <c r="I7" s="1330">
        <f t="shared" ref="I7:I24" si="0">(D7*G7)</f>
        <v>0</v>
      </c>
      <c r="J7" s="1330">
        <f t="shared" ref="J7:J32" si="1">(F7*D7)</f>
        <v>0</v>
      </c>
      <c r="K7" s="1330">
        <f t="shared" ref="K7:K37" si="2">+H7-I7</f>
        <v>0</v>
      </c>
      <c r="L7" s="1349"/>
      <c r="M7" s="1389"/>
      <c r="N7" s="1367"/>
      <c r="O7" s="1367"/>
      <c r="P7" s="1367"/>
      <c r="Q7" s="1367"/>
      <c r="R7" s="1367"/>
      <c r="S7" s="1367"/>
      <c r="T7" s="1367"/>
      <c r="U7" s="1367"/>
      <c r="V7" s="1367"/>
      <c r="W7" s="1367"/>
      <c r="X7" s="1367"/>
      <c r="Y7" s="1367"/>
      <c r="Z7" s="1367"/>
      <c r="AA7" s="1367"/>
      <c r="AB7" s="1349"/>
      <c r="AC7" s="1373"/>
      <c r="AI7" s="308"/>
    </row>
    <row r="8" spans="1:35" ht="15.75" x14ac:dyDescent="0.25">
      <c r="A8" s="1346" t="s">
        <v>2101</v>
      </c>
      <c r="B8" s="886" t="str">
        <f>VLOOKUP(A8,A.P.U!C:F,2,0)</f>
        <v xml:space="preserve"> Demolición pavimento en Concreto Hidráulico         </v>
      </c>
      <c r="C8" s="887" t="str">
        <f>VLOOKUP(A8,A.P.U!C:F,3,0)</f>
        <v>M3</v>
      </c>
      <c r="D8" s="1084">
        <f>ROUND(+'Cantidades de obra'!AA48+'Cantidades de obra'!AG48+'cant acued'!I14,2)</f>
        <v>280.07</v>
      </c>
      <c r="E8" s="1149">
        <f>VLOOKUP(A8,A.P.U!$C:$K,6,0)+VLOOKUP(A8,A.P.U!$C:$K,8,0)+VLOOKUP(A8,A.P.U!$C:$K,9,0)</f>
        <v>77152.238750000004</v>
      </c>
      <c r="F8" s="888">
        <f>VLOOKUP(A8,A.P.U!$C:$K,7,0)</f>
        <v>361.6</v>
      </c>
      <c r="G8" s="1059">
        <f>ROUND(VLOOKUP(A8,A.P.U!C:F,4,0),0)</f>
        <v>77514</v>
      </c>
      <c r="H8" s="1331">
        <f t="shared" ref="H8:H18" si="3">(D8*G8)</f>
        <v>21709345.98</v>
      </c>
      <c r="I8" s="1330">
        <f t="shared" si="0"/>
        <v>21709345.98</v>
      </c>
      <c r="J8" s="1330">
        <v>0</v>
      </c>
      <c r="K8" s="1330">
        <f t="shared" si="2"/>
        <v>0</v>
      </c>
      <c r="L8" s="1358">
        <v>8.11</v>
      </c>
      <c r="M8" s="1388"/>
      <c r="N8" s="1366"/>
      <c r="O8" s="1366"/>
      <c r="P8" s="1366"/>
      <c r="Q8" s="1365"/>
      <c r="R8" s="1366"/>
      <c r="S8" s="1366"/>
      <c r="T8" s="1366"/>
      <c r="U8" s="1365"/>
      <c r="V8" s="1366"/>
      <c r="W8" s="1366"/>
      <c r="X8" s="1366"/>
      <c r="Y8" s="1365"/>
      <c r="Z8" s="1366"/>
      <c r="AA8" s="1366"/>
      <c r="AB8" s="1358"/>
      <c r="AC8" s="1374"/>
      <c r="AI8" s="308"/>
    </row>
    <row r="9" spans="1:35" ht="15.75" x14ac:dyDescent="0.25">
      <c r="A9" s="1346" t="s">
        <v>2104</v>
      </c>
      <c r="B9" s="886" t="str">
        <f>VLOOKUP(A9,A.P.U!C:F,2,0)</f>
        <v xml:space="preserve">Demolición de Andenes y Sardineles en Concreto Hidráulico            </v>
      </c>
      <c r="C9" s="887" t="str">
        <f>VLOOKUP(A9,A.P.U!C:F,3,0)</f>
        <v>M3</v>
      </c>
      <c r="D9" s="1084">
        <f>ROUND(+'cant acued'!I15+'Cantidades de obra'!AH48,2)</f>
        <v>19.7</v>
      </c>
      <c r="E9" s="1149">
        <f>VLOOKUP(A9,A.P.U!$C:$K,6,0)+VLOOKUP(A9,A.P.U!$C:$K,8,0)+VLOOKUP(A9,A.P.U!$C:$K,9,0)</f>
        <v>48732.238750000004</v>
      </c>
      <c r="F9" s="888">
        <f>VLOOKUP(A9,A.P.U!$C:$K,7,0)</f>
        <v>1030.4000000000001</v>
      </c>
      <c r="G9" s="1059">
        <f>ROUND(VLOOKUP(A9,A.P.U!C:F,4,0),0)</f>
        <v>49763</v>
      </c>
      <c r="H9" s="1331">
        <f t="shared" si="3"/>
        <v>980331.1</v>
      </c>
      <c r="I9" s="1330">
        <f t="shared" si="0"/>
        <v>980331.1</v>
      </c>
      <c r="J9" s="1330">
        <v>0</v>
      </c>
      <c r="K9" s="1330">
        <f t="shared" si="2"/>
        <v>0</v>
      </c>
      <c r="L9" s="1358">
        <v>8.1300000000000008</v>
      </c>
      <c r="M9" s="1390"/>
      <c r="N9" s="1365"/>
      <c r="O9" s="1366"/>
      <c r="P9" s="1366"/>
      <c r="Q9" s="1366"/>
      <c r="R9" s="1365"/>
      <c r="S9" s="1366"/>
      <c r="T9" s="1366"/>
      <c r="U9" s="1366"/>
      <c r="V9" s="1365"/>
      <c r="W9" s="1366"/>
      <c r="X9" s="1366"/>
      <c r="Y9" s="1366"/>
      <c r="Z9" s="1365"/>
      <c r="AA9" s="1366"/>
      <c r="AB9" s="1358"/>
      <c r="AC9" s="1374"/>
      <c r="AI9" s="308"/>
    </row>
    <row r="10" spans="1:35" s="1126" customFormat="1" ht="15.75" x14ac:dyDescent="0.25">
      <c r="A10" s="1350" t="s">
        <v>2392</v>
      </c>
      <c r="B10" s="1127" t="str">
        <f>VLOOKUP(A10,A.P.U!C:F,2,0)</f>
        <v xml:space="preserve"> Demolición en Concreto Hidráulico (CILINDROS CÁMARAS)        .</v>
      </c>
      <c r="C10" s="1128" t="str">
        <f>VLOOKUP(A10,A.P.U!C:F,3,0)</f>
        <v>M</v>
      </c>
      <c r="D10" s="1085">
        <f>'Cantidades de obra'!V48</f>
        <v>64.48</v>
      </c>
      <c r="E10" s="1150">
        <f>VLOOKUP(A10,A.P.U!$C:$K,6,0)+VLOOKUP(A10,A.P.U!$C:$K,8,0)+VLOOKUP(A10,A.P.U!$C:$K,9,0)</f>
        <v>4782.1865545781257</v>
      </c>
      <c r="F10" s="1129">
        <f>VLOOKUP(A10,A.P.U!$C:$K,7,0)</f>
        <v>40634.567820000004</v>
      </c>
      <c r="G10" s="1136">
        <f>ROUND(VLOOKUP(A10,A.P.U!C:F,4,0),0)</f>
        <v>45417</v>
      </c>
      <c r="H10" s="1332">
        <f t="shared" si="3"/>
        <v>2928488.16</v>
      </c>
      <c r="I10" s="1333">
        <f t="shared" si="0"/>
        <v>2928488.16</v>
      </c>
      <c r="J10" s="1333">
        <v>0</v>
      </c>
      <c r="K10" s="1333">
        <f t="shared" si="2"/>
        <v>0</v>
      </c>
      <c r="L10" s="1358">
        <v>8.16</v>
      </c>
      <c r="M10" s="1390"/>
      <c r="N10" s="1365"/>
      <c r="O10" s="1366"/>
      <c r="P10" s="1366"/>
      <c r="Q10" s="1366"/>
      <c r="R10" s="1365"/>
      <c r="S10" s="1366"/>
      <c r="T10" s="1366"/>
      <c r="U10" s="1366"/>
      <c r="V10" s="1365"/>
      <c r="W10" s="1366"/>
      <c r="X10" s="1366"/>
      <c r="Y10" s="1366"/>
      <c r="Z10" s="1365"/>
      <c r="AA10" s="1366"/>
      <c r="AB10" s="1358"/>
      <c r="AC10" s="1374"/>
      <c r="AI10" s="1130"/>
    </row>
    <row r="11" spans="1:35" s="1126" customFormat="1" ht="15.75" x14ac:dyDescent="0.25">
      <c r="A11" s="1350" t="s">
        <v>2856</v>
      </c>
      <c r="B11" s="1127" t="str">
        <f>VLOOKUP(A11,A.P.U!C:F,2,0)</f>
        <v xml:space="preserve"> Demolición en Concreto Hidráulico (BASES Y CAÑUELAS CÁMARAS)        .</v>
      </c>
      <c r="C11" s="1128" t="str">
        <f>VLOOKUP(A11,A.P.U!C:F,3,0)</f>
        <v>UN</v>
      </c>
      <c r="D11" s="1085">
        <f>'Cantidades de obra'!N84</f>
        <v>38</v>
      </c>
      <c r="E11" s="1150">
        <f>VLOOKUP(A11,A.P.U!$C:$K,6,0)+VLOOKUP(A11,A.P.U!$C:$K,8,0)+VLOOKUP(A11,A.P.U!$C:$K,9,0)</f>
        <v>17701.369618143752</v>
      </c>
      <c r="F11" s="1129">
        <f>VLOOKUP(A11,A.P.U!$C:$K,7,0)</f>
        <v>40634.567820000004</v>
      </c>
      <c r="G11" s="1136">
        <f>ROUND(VLOOKUP(A11,A.P.U!C:F,4,0),0)</f>
        <v>58336</v>
      </c>
      <c r="H11" s="1332">
        <f t="shared" si="3"/>
        <v>2216768</v>
      </c>
      <c r="I11" s="1333"/>
      <c r="J11" s="1333"/>
      <c r="K11" s="1333"/>
      <c r="L11" s="1358">
        <v>8.1199999999999992</v>
      </c>
      <c r="M11" s="1390"/>
      <c r="N11" s="1365"/>
      <c r="O11" s="1366"/>
      <c r="P11" s="1366"/>
      <c r="Q11" s="1366"/>
      <c r="R11" s="1365"/>
      <c r="S11" s="1366"/>
      <c r="T11" s="1366"/>
      <c r="U11" s="1366"/>
      <c r="V11" s="1365"/>
      <c r="W11" s="1366"/>
      <c r="X11" s="1366"/>
      <c r="Y11" s="1366"/>
      <c r="Z11" s="1365"/>
      <c r="AA11" s="1366"/>
      <c r="AB11" s="1358"/>
      <c r="AC11" s="1374"/>
      <c r="AI11" s="1130"/>
    </row>
    <row r="12" spans="1:35" ht="18" customHeight="1" x14ac:dyDescent="0.25">
      <c r="A12" s="1348"/>
      <c r="B12" s="1192" t="s">
        <v>874</v>
      </c>
      <c r="C12" s="1192"/>
      <c r="D12" s="1083"/>
      <c r="E12" s="1148"/>
      <c r="F12" s="889"/>
      <c r="G12" s="1134"/>
      <c r="H12" s="1329"/>
      <c r="I12" s="1330">
        <f t="shared" si="0"/>
        <v>0</v>
      </c>
      <c r="J12" s="1330">
        <f t="shared" si="1"/>
        <v>0</v>
      </c>
      <c r="K12" s="1330">
        <f t="shared" si="2"/>
        <v>0</v>
      </c>
      <c r="L12" s="1349"/>
      <c r="M12" s="1389"/>
      <c r="N12" s="1367"/>
      <c r="O12" s="1367"/>
      <c r="P12" s="1367"/>
      <c r="Q12" s="1367"/>
      <c r="R12" s="1367"/>
      <c r="S12" s="1367"/>
      <c r="T12" s="1367"/>
      <c r="U12" s="1367"/>
      <c r="V12" s="1367"/>
      <c r="W12" s="1367"/>
      <c r="X12" s="1367"/>
      <c r="Y12" s="1367"/>
      <c r="Z12" s="1367"/>
      <c r="AA12" s="1367"/>
      <c r="AB12" s="1349"/>
      <c r="AC12" s="1373"/>
      <c r="AI12" s="308"/>
    </row>
    <row r="13" spans="1:35" ht="15.75" x14ac:dyDescent="0.25">
      <c r="A13" s="1346" t="s">
        <v>804</v>
      </c>
      <c r="B13" s="886" t="str">
        <f>VLOOKUP(A13,A.P.U!C:F,2,0)</f>
        <v xml:space="preserve"> Excavación en Zanja - Manual - Cualquier material (seco/húmedo)- 0.0 a 2.0 m        </v>
      </c>
      <c r="C13" s="887" t="str">
        <f>VLOOKUP(A13,A.P.U!C:F,3,0)</f>
        <v>M3</v>
      </c>
      <c r="D13" s="1084">
        <f>ROUND('Cantidades de obra'!H84,2)</f>
        <v>3017.87</v>
      </c>
      <c r="E13" s="1149">
        <f>VLOOKUP(A13,A.P.U!$C:$K,6,0)+VLOOKUP(A13,A.P.U!$C:$K,8,0)+VLOOKUP(A13,A.P.U!$C:$K,9,0)</f>
        <v>14890.769375000002</v>
      </c>
      <c r="F13" s="888">
        <f>VLOOKUP(A13,A.P.U!$C:$K,7,0)</f>
        <v>0</v>
      </c>
      <c r="G13" s="1059">
        <f>ROUND(VLOOKUP(A13,A.P.U!C:F,4,0),0)</f>
        <v>14891</v>
      </c>
      <c r="H13" s="1331">
        <f t="shared" si="3"/>
        <v>44939102.170000002</v>
      </c>
      <c r="I13" s="1330">
        <f t="shared" si="0"/>
        <v>44939102.170000002</v>
      </c>
      <c r="J13" s="1330">
        <f t="shared" si="1"/>
        <v>0</v>
      </c>
      <c r="K13" s="1330">
        <f t="shared" si="2"/>
        <v>0</v>
      </c>
      <c r="L13" s="1660">
        <v>2.11</v>
      </c>
      <c r="M13" s="1391"/>
      <c r="N13" s="1368"/>
      <c r="O13" s="1369"/>
      <c r="P13" s="1369"/>
      <c r="Q13" s="1368"/>
      <c r="R13" s="1368"/>
      <c r="S13" s="1369"/>
      <c r="T13" s="1369"/>
      <c r="U13" s="1368"/>
      <c r="V13" s="1368"/>
      <c r="W13" s="1369"/>
      <c r="X13" s="1369"/>
      <c r="Y13" s="1368"/>
      <c r="Z13" s="1368"/>
      <c r="AA13" s="1369"/>
      <c r="AB13" s="1392"/>
      <c r="AC13" s="1375"/>
      <c r="AI13" s="308"/>
    </row>
    <row r="14" spans="1:35" s="1060" customFormat="1" ht="15.75" x14ac:dyDescent="0.25">
      <c r="A14" s="1346" t="s">
        <v>2088</v>
      </c>
      <c r="B14" s="886" t="str">
        <f>A.P.U!D69</f>
        <v xml:space="preserve"> Excavación en Zanja - Manual - Cualquier material (seco - húmedo) 2,01 - a 4,00 m                                         </v>
      </c>
      <c r="C14" s="887" t="str">
        <f>A.P.U!E69</f>
        <v>M3</v>
      </c>
      <c r="D14" s="1084">
        <f>ROUND('Cantidades de obra'!H86,2)</f>
        <v>113.65</v>
      </c>
      <c r="E14" s="1149">
        <f>A.P.U!H69+A.P.U!J69</f>
        <v>40756.96875</v>
      </c>
      <c r="F14" s="888">
        <f>A.P.U!I69</f>
        <v>0</v>
      </c>
      <c r="G14" s="1059">
        <f>ROUND(A.P.U!F69,0)</f>
        <v>40757</v>
      </c>
      <c r="H14" s="1331">
        <f t="shared" si="3"/>
        <v>4632033.05</v>
      </c>
      <c r="I14" s="1328">
        <f t="shared" si="0"/>
        <v>4632033.05</v>
      </c>
      <c r="J14" s="1328">
        <f t="shared" si="1"/>
        <v>0</v>
      </c>
      <c r="K14" s="1328">
        <f t="shared" si="2"/>
        <v>0</v>
      </c>
      <c r="L14" s="1660"/>
      <c r="M14" s="1391"/>
      <c r="N14" s="1368"/>
      <c r="O14" s="1368"/>
      <c r="P14" s="1369"/>
      <c r="Q14" s="1368"/>
      <c r="R14" s="1368"/>
      <c r="S14" s="1368"/>
      <c r="T14" s="1369"/>
      <c r="U14" s="1368"/>
      <c r="V14" s="1368"/>
      <c r="W14" s="1368"/>
      <c r="X14" s="1369"/>
      <c r="Y14" s="1368"/>
      <c r="Z14" s="1368"/>
      <c r="AA14" s="1368"/>
      <c r="AB14" s="1392"/>
      <c r="AC14" s="1375"/>
      <c r="AI14" s="1061"/>
    </row>
    <row r="15" spans="1:35" s="1060" customFormat="1" ht="15.75" x14ac:dyDescent="0.25">
      <c r="A15" s="1346" t="s">
        <v>2949</v>
      </c>
      <c r="B15" s="886" t="str">
        <f>A.P.U!D70</f>
        <v>Descripción</v>
      </c>
      <c r="C15" s="887"/>
      <c r="D15" s="1084"/>
      <c r="E15" s="1149"/>
      <c r="F15" s="888"/>
      <c r="G15" s="1059"/>
      <c r="H15" s="1331"/>
      <c r="I15" s="1328"/>
      <c r="J15" s="1328"/>
      <c r="K15" s="1328"/>
      <c r="L15" s="1440"/>
      <c r="M15" s="1391"/>
      <c r="N15" s="1368"/>
      <c r="O15" s="1368"/>
      <c r="P15" s="1369"/>
      <c r="Q15" s="1368"/>
      <c r="R15" s="1368"/>
      <c r="S15" s="1368"/>
      <c r="T15" s="1369"/>
      <c r="U15" s="1368"/>
      <c r="V15" s="1368"/>
      <c r="W15" s="1368"/>
      <c r="X15" s="1369"/>
      <c r="Y15" s="1368"/>
      <c r="Z15" s="1368"/>
      <c r="AA15" s="1368"/>
      <c r="AB15" s="1392"/>
      <c r="AC15" s="1375"/>
      <c r="AI15" s="1061"/>
    </row>
    <row r="16" spans="1:35" ht="18" customHeight="1" x14ac:dyDescent="0.25">
      <c r="A16" s="1348"/>
      <c r="B16" s="1192" t="s">
        <v>873</v>
      </c>
      <c r="C16" s="1192"/>
      <c r="D16" s="1083"/>
      <c r="E16" s="1148"/>
      <c r="F16" s="889"/>
      <c r="G16" s="1134"/>
      <c r="H16" s="1329"/>
      <c r="I16" s="1330">
        <f t="shared" si="0"/>
        <v>0</v>
      </c>
      <c r="J16" s="1330">
        <f t="shared" si="1"/>
        <v>0</v>
      </c>
      <c r="K16" s="1330">
        <f t="shared" si="2"/>
        <v>0</v>
      </c>
      <c r="L16" s="1349"/>
      <c r="M16" s="1389"/>
      <c r="N16" s="1367"/>
      <c r="O16" s="1367"/>
      <c r="P16" s="1367"/>
      <c r="Q16" s="1367"/>
      <c r="R16" s="1367"/>
      <c r="S16" s="1367"/>
      <c r="T16" s="1367"/>
      <c r="U16" s="1367"/>
      <c r="V16" s="1367"/>
      <c r="W16" s="1367"/>
      <c r="X16" s="1367"/>
      <c r="Y16" s="1367"/>
      <c r="Z16" s="1367"/>
      <c r="AA16" s="1367"/>
      <c r="AB16" s="1349"/>
      <c r="AC16" s="1373"/>
      <c r="AI16" s="308"/>
    </row>
    <row r="17" spans="1:35" ht="31.5" x14ac:dyDescent="0.25">
      <c r="A17" s="1346" t="s">
        <v>2092</v>
      </c>
      <c r="B17" s="886" t="str">
        <f>VLOOKUP(A17,A.P.U!C:F,2,0)</f>
        <v xml:space="preserve">Cargue y evacuación de escombros y sobrantes en Vehículo Automotor, hasta cualquier distancia.                 </v>
      </c>
      <c r="C17" s="887" t="str">
        <f>VLOOKUP(A17,A.P.U!C:F,3,0)</f>
        <v>M3</v>
      </c>
      <c r="D17" s="1084">
        <f>ROUND('Cantidades de obra'!H88,2)</f>
        <v>961.2</v>
      </c>
      <c r="E17" s="1149">
        <f>VLOOKUP(A17,A.P.U!$C:$K,6,0)+VLOOKUP(A17,A.P.U!$C:$K,8,0)+VLOOKUP(A17,A.P.U!$C:$K,9,0)</f>
        <v>25077.92625</v>
      </c>
      <c r="F17" s="888">
        <f>VLOOKUP(A17,A.P.U!$C:$K,7,0)</f>
        <v>0</v>
      </c>
      <c r="G17" s="1059">
        <f>ROUND(VLOOKUP(A17,A.P.U!C:F,4,0),0)</f>
        <v>25078</v>
      </c>
      <c r="H17" s="1331">
        <f t="shared" si="3"/>
        <v>24104973.600000001</v>
      </c>
      <c r="I17" s="1330">
        <f t="shared" si="0"/>
        <v>24104973.600000001</v>
      </c>
      <c r="J17" s="1330">
        <f t="shared" si="1"/>
        <v>0</v>
      </c>
      <c r="K17" s="1330">
        <f t="shared" si="2"/>
        <v>0</v>
      </c>
      <c r="L17" s="1660">
        <v>2.4</v>
      </c>
      <c r="M17" s="1391"/>
      <c r="N17" s="1368"/>
      <c r="O17" s="1368"/>
      <c r="P17" s="1368"/>
      <c r="Q17" s="1368"/>
      <c r="R17" s="1369"/>
      <c r="S17" s="1368"/>
      <c r="T17" s="1368"/>
      <c r="U17" s="1368"/>
      <c r="V17" s="1369"/>
      <c r="W17" s="1368"/>
      <c r="X17" s="1368"/>
      <c r="Y17" s="1368"/>
      <c r="Z17" s="1369"/>
      <c r="AA17" s="1368"/>
      <c r="AB17" s="1393"/>
      <c r="AC17" s="1375"/>
      <c r="AI17" s="308"/>
    </row>
    <row r="18" spans="1:35" s="1060" customFormat="1" ht="31.5" x14ac:dyDescent="0.2">
      <c r="A18" s="1346" t="s">
        <v>2726</v>
      </c>
      <c r="B18" s="886" t="str">
        <f>VLOOKUP(A18,A.P.U!C:F,2,0)</f>
        <v>Transporte terrestre de materiales para ejecución de obra incluye disposición final en cualquier tipo vía</v>
      </c>
      <c r="C18" s="887" t="str">
        <f>VLOOKUP(A18,A.P.U!C:F,3,0)</f>
        <v>M3/KM</v>
      </c>
      <c r="D18" s="1082">
        <f>(D42+D22)*20</f>
        <v>9860.2000000000007</v>
      </c>
      <c r="E18" s="890">
        <f>VLOOKUP(A18,A.P.U!$C:$K,6,0)+VLOOKUP(A18,A.P.U!$C:$K,8,0)+VLOOKUP(A18,A.P.U!$C:$K,9,0)</f>
        <v>928</v>
      </c>
      <c r="F18" s="1059">
        <f>VLOOKUP(A18,A.P.U!$C:$K,7,0)</f>
        <v>0</v>
      </c>
      <c r="G18" s="1059">
        <f>ROUND(VLOOKUP(A18,A.P.U!C:F,4,0),0)</f>
        <v>928</v>
      </c>
      <c r="H18" s="1327">
        <f t="shared" si="3"/>
        <v>9150265.6000000015</v>
      </c>
      <c r="I18" s="1328"/>
      <c r="J18" s="1328"/>
      <c r="K18" s="1328"/>
      <c r="L18" s="1660"/>
      <c r="M18" s="1391"/>
      <c r="N18" s="1368"/>
      <c r="O18" s="1368"/>
      <c r="P18" s="1368"/>
      <c r="Q18" s="1368"/>
      <c r="R18" s="1369"/>
      <c r="S18" s="1368"/>
      <c r="T18" s="1368"/>
      <c r="U18" s="1368"/>
      <c r="V18" s="1369"/>
      <c r="W18" s="1368"/>
      <c r="X18" s="1368"/>
      <c r="Y18" s="1368"/>
      <c r="Z18" s="1369"/>
      <c r="AA18" s="1368"/>
      <c r="AB18" s="1393"/>
      <c r="AC18" s="1375"/>
      <c r="AI18" s="1061"/>
    </row>
    <row r="19" spans="1:35" ht="18" customHeight="1" x14ac:dyDescent="0.25">
      <c r="A19" s="1348"/>
      <c r="B19" s="1192" t="s">
        <v>1751</v>
      </c>
      <c r="C19" s="1192"/>
      <c r="D19" s="1083"/>
      <c r="E19" s="1148"/>
      <c r="F19" s="889"/>
      <c r="G19" s="1134"/>
      <c r="H19" s="1329"/>
      <c r="I19" s="1330">
        <f t="shared" si="0"/>
        <v>0</v>
      </c>
      <c r="J19" s="1330">
        <f t="shared" si="1"/>
        <v>0</v>
      </c>
      <c r="K19" s="1330">
        <f t="shared" si="2"/>
        <v>0</v>
      </c>
      <c r="L19" s="1349"/>
      <c r="M19" s="1389"/>
      <c r="N19" s="1367"/>
      <c r="O19" s="1367"/>
      <c r="P19" s="1367"/>
      <c r="Q19" s="1367"/>
      <c r="R19" s="1367"/>
      <c r="S19" s="1367"/>
      <c r="T19" s="1367"/>
      <c r="U19" s="1367"/>
      <c r="V19" s="1367"/>
      <c r="W19" s="1367"/>
      <c r="X19" s="1367"/>
      <c r="Y19" s="1367"/>
      <c r="Z19" s="1367"/>
      <c r="AA19" s="1367"/>
      <c r="AB19" s="1349"/>
      <c r="AC19" s="1373"/>
      <c r="AI19" s="308"/>
    </row>
    <row r="20" spans="1:35" ht="31.5" x14ac:dyDescent="0.25">
      <c r="A20" s="1346" t="s">
        <v>1752</v>
      </c>
      <c r="B20" s="886" t="str">
        <f>VLOOKUP(A20,A.P.U!C:F,2,0)</f>
        <v xml:space="preserve">Suministros, Transporte e Instalacion Rellenos Compactados con Materia seleccionado proveniente de la excavacion         </v>
      </c>
      <c r="C20" s="887" t="str">
        <f>VLOOKUP(A20,A.P.U!C:F,3,0)</f>
        <v>M3</v>
      </c>
      <c r="D20" s="1084">
        <f>ROUND(('Cantidades de obra'!H98),2)</f>
        <v>2534.52</v>
      </c>
      <c r="E20" s="1149">
        <f>VLOOKUP(A20,A.P.U!$C:$K,6,0)+VLOOKUP(A20,A.P.U!$C:$K,8,0)+VLOOKUP(A20,A.P.U!$C:$K,9,0)</f>
        <v>12954.095000000001</v>
      </c>
      <c r="F20" s="888">
        <f>VLOOKUP(A20,A.P.U!$C:$K,7,0)</f>
        <v>0</v>
      </c>
      <c r="G20" s="888">
        <f>VLOOKUP(A20,A.P.U!C:F,4,0)</f>
        <v>12954.095000000001</v>
      </c>
      <c r="H20" s="1331">
        <f>+G20*D20</f>
        <v>32832412.859400004</v>
      </c>
      <c r="I20" s="1330">
        <f t="shared" si="0"/>
        <v>32832412.859400004</v>
      </c>
      <c r="J20" s="1330">
        <f t="shared" si="1"/>
        <v>0</v>
      </c>
      <c r="K20" s="1330">
        <f t="shared" si="2"/>
        <v>0</v>
      </c>
      <c r="L20" s="1351" t="s">
        <v>2859</v>
      </c>
      <c r="M20" s="1394"/>
      <c r="N20" s="1326"/>
      <c r="O20" s="1326"/>
      <c r="P20" s="1326"/>
      <c r="Q20" s="1362"/>
      <c r="R20" s="1326"/>
      <c r="S20" s="1326"/>
      <c r="T20" s="1326"/>
      <c r="U20" s="1326"/>
      <c r="V20" s="1362"/>
      <c r="W20" s="1326"/>
      <c r="X20" s="1326"/>
      <c r="Y20" s="1326"/>
      <c r="Z20" s="1326"/>
      <c r="AA20" s="1362"/>
      <c r="AB20" s="1351"/>
      <c r="AC20" s="1376"/>
      <c r="AI20" s="308"/>
    </row>
    <row r="21" spans="1:35" ht="15.75" x14ac:dyDescent="0.25">
      <c r="A21" s="1346" t="s">
        <v>2727</v>
      </c>
      <c r="B21" s="886" t="str">
        <f>VLOOKUP(A21,A.P.U!C:F,2,0)</f>
        <v>Suministros, Transporte e Instalacion Rellenos Compactados con Afirmado (Tipo El Faro)</v>
      </c>
      <c r="C21" s="887" t="str">
        <f>VLOOKUP(A21,A.P.U!C:F,3,0)</f>
        <v>M3</v>
      </c>
      <c r="D21" s="1084">
        <f>ROUND('Cantidades de obra'!N88,2)</f>
        <v>333.33</v>
      </c>
      <c r="E21" s="1149">
        <f>VLOOKUP(A21,A.P.U!$C:$K,6,0)+VLOOKUP(A21,A.P.U!$C:$K,8,0)+VLOOKUP(A21,A.P.U!$C:$K,9,0)</f>
        <v>23087.110000000004</v>
      </c>
      <c r="F21" s="888">
        <f>VLOOKUP(A21,A.P.U!$C:$K,7,0)</f>
        <v>39140</v>
      </c>
      <c r="G21" s="888">
        <f>VLOOKUP(A21,A.P.U!C:F,4,0)</f>
        <v>62227.11</v>
      </c>
      <c r="H21" s="1331">
        <f>+G21*D21</f>
        <v>20742162.576299999</v>
      </c>
      <c r="I21" s="1330"/>
      <c r="J21" s="1330"/>
      <c r="K21" s="1330"/>
      <c r="L21" s="1351" t="s">
        <v>2933</v>
      </c>
      <c r="M21" s="1394"/>
      <c r="N21" s="1326"/>
      <c r="O21" s="1326"/>
      <c r="P21" s="1326"/>
      <c r="Q21" s="1362"/>
      <c r="R21" s="1326"/>
      <c r="S21" s="1326"/>
      <c r="T21" s="1326"/>
      <c r="U21" s="1326"/>
      <c r="V21" s="1362"/>
      <c r="W21" s="1326"/>
      <c r="X21" s="1326"/>
      <c r="Y21" s="1326"/>
      <c r="Z21" s="1326"/>
      <c r="AA21" s="1362"/>
      <c r="AB21" s="1351"/>
      <c r="AC21" s="1376"/>
      <c r="AI21" s="308"/>
    </row>
    <row r="22" spans="1:35" ht="15.75" x14ac:dyDescent="0.25">
      <c r="A22" s="1346" t="s">
        <v>2086</v>
      </c>
      <c r="B22" s="886" t="str">
        <f>A.P.U!D167</f>
        <v xml:space="preserve">Suministros, Transporte e Instalacion Relleno arena gruesa limpia para tubería </v>
      </c>
      <c r="C22" s="887" t="str">
        <f>A.P.U!E167</f>
        <v>M3</v>
      </c>
      <c r="D22" s="1084">
        <f>ROUND('Cantidades de obra'!N90,2)</f>
        <v>159.68</v>
      </c>
      <c r="E22" s="1149">
        <f>A.P.U!H167+A.P.U!J167</f>
        <v>12406.390625</v>
      </c>
      <c r="F22" s="888">
        <f>A.P.U!I167</f>
        <v>45320</v>
      </c>
      <c r="G22" s="888">
        <f>ROUND(A.P.U!F167,0)</f>
        <v>57726</v>
      </c>
      <c r="H22" s="1331">
        <f>+G22*D22</f>
        <v>9217687.6799999997</v>
      </c>
      <c r="I22" s="1330">
        <f t="shared" si="0"/>
        <v>9217687.6799999997</v>
      </c>
      <c r="J22" s="1330">
        <v>0</v>
      </c>
      <c r="K22" s="1330">
        <f t="shared" si="2"/>
        <v>0</v>
      </c>
      <c r="L22" s="1351" t="s">
        <v>2860</v>
      </c>
      <c r="M22" s="1394"/>
      <c r="N22" s="1326"/>
      <c r="O22" s="1326"/>
      <c r="P22" s="1326"/>
      <c r="Q22" s="1362"/>
      <c r="R22" s="1326"/>
      <c r="S22" s="1326"/>
      <c r="T22" s="1326"/>
      <c r="U22" s="1326"/>
      <c r="V22" s="1362"/>
      <c r="W22" s="1326"/>
      <c r="X22" s="1326"/>
      <c r="Y22" s="1326"/>
      <c r="Z22" s="1326"/>
      <c r="AA22" s="1362"/>
      <c r="AB22" s="1351"/>
      <c r="AC22" s="1376"/>
      <c r="AI22" s="308"/>
    </row>
    <row r="23" spans="1:35" ht="15.75" x14ac:dyDescent="0.25">
      <c r="A23" s="1348"/>
      <c r="B23" s="1192" t="s">
        <v>2417</v>
      </c>
      <c r="C23" s="1192"/>
      <c r="D23" s="1083"/>
      <c r="E23" s="1148"/>
      <c r="F23" s="889"/>
      <c r="G23" s="1134"/>
      <c r="H23" s="1329"/>
      <c r="I23" s="1330">
        <f t="shared" si="0"/>
        <v>0</v>
      </c>
      <c r="J23" s="1330">
        <f t="shared" si="1"/>
        <v>0</v>
      </c>
      <c r="K23" s="1330">
        <f t="shared" si="2"/>
        <v>0</v>
      </c>
      <c r="L23" s="1349"/>
      <c r="M23" s="1389"/>
      <c r="N23" s="1367"/>
      <c r="O23" s="1367"/>
      <c r="P23" s="1367"/>
      <c r="Q23" s="1367"/>
      <c r="R23" s="1367"/>
      <c r="S23" s="1367"/>
      <c r="T23" s="1367"/>
      <c r="U23" s="1367"/>
      <c r="V23" s="1367"/>
      <c r="W23" s="1367"/>
      <c r="X23" s="1367"/>
      <c r="Y23" s="1367"/>
      <c r="Z23" s="1367"/>
      <c r="AA23" s="1367"/>
      <c r="AB23" s="1349"/>
      <c r="AC23" s="1373"/>
      <c r="AI23" s="308"/>
    </row>
    <row r="24" spans="1:35" ht="15.75" x14ac:dyDescent="0.25">
      <c r="A24" s="1346" t="s">
        <v>2420</v>
      </c>
      <c r="B24" s="886" t="str">
        <f>VLOOKUP(A24,A.P.U!C:F,2,0)</f>
        <v>Suministro, transporte e instalación Entibado continuo en madera Tipo 2</v>
      </c>
      <c r="C24" s="887" t="str">
        <f>VLOOKUP(A24,A.P.U!C:F,3,0)</f>
        <v>M2</v>
      </c>
      <c r="D24" s="1084">
        <f>ROUND('Cantidades de obra'!U48,0)</f>
        <v>1967</v>
      </c>
      <c r="E24" s="1149">
        <f>VLOOKUP(A24,A.P.U!$C:$K,6,0)+VLOOKUP(A24,A.P.U!$C:$K,8,0)+VLOOKUP(A24,A.P.U!$C:$K,9,0)</f>
        <v>4377.1632069687503</v>
      </c>
      <c r="F24" s="888">
        <f>A.P.U!I206</f>
        <v>11982.8896</v>
      </c>
      <c r="G24" s="1059">
        <f>ROUND(VLOOKUP(A24,A.P.U!C:F,4,0),0)</f>
        <v>16360</v>
      </c>
      <c r="H24" s="1331">
        <f>+G24*D24</f>
        <v>32180120</v>
      </c>
      <c r="I24" s="1330">
        <f t="shared" si="0"/>
        <v>32180120</v>
      </c>
      <c r="J24" s="1330">
        <v>0</v>
      </c>
      <c r="K24" s="1330">
        <f t="shared" si="2"/>
        <v>0</v>
      </c>
      <c r="L24" s="1351" t="s">
        <v>2861</v>
      </c>
      <c r="M24" s="1394"/>
      <c r="N24" s="1326"/>
      <c r="O24" s="1369"/>
      <c r="P24" s="1326"/>
      <c r="Q24" s="1326"/>
      <c r="R24" s="1326"/>
      <c r="S24" s="1362"/>
      <c r="T24" s="1326"/>
      <c r="U24" s="1326"/>
      <c r="V24" s="1326"/>
      <c r="W24" s="1362"/>
      <c r="X24" s="1326"/>
      <c r="Y24" s="1326"/>
      <c r="Z24" s="1326"/>
      <c r="AA24" s="1362"/>
      <c r="AB24" s="1351"/>
      <c r="AC24" s="1376"/>
      <c r="AI24" s="308"/>
    </row>
    <row r="25" spans="1:35" ht="15" customHeight="1" x14ac:dyDescent="0.25">
      <c r="A25" s="1669" t="s">
        <v>2717</v>
      </c>
      <c r="B25" s="1670"/>
      <c r="C25" s="1670"/>
      <c r="D25" s="1670"/>
      <c r="E25" s="1670"/>
      <c r="F25" s="1670"/>
      <c r="G25" s="1670"/>
      <c r="H25" s="1334"/>
      <c r="I25" s="1330">
        <f t="shared" ref="I25:I32" si="4">(D25*E25)</f>
        <v>0</v>
      </c>
      <c r="J25" s="1330">
        <f t="shared" si="1"/>
        <v>0</v>
      </c>
      <c r="K25" s="1330">
        <f t="shared" si="2"/>
        <v>0</v>
      </c>
      <c r="L25" s="1135"/>
      <c r="M25" s="1395"/>
      <c r="N25" s="1370"/>
      <c r="O25" s="1370"/>
      <c r="P25" s="1370"/>
      <c r="Q25" s="1370"/>
      <c r="R25" s="1370"/>
      <c r="S25" s="1370"/>
      <c r="T25" s="1370"/>
      <c r="U25" s="1370"/>
      <c r="V25" s="1370"/>
      <c r="W25" s="1370"/>
      <c r="X25" s="1370"/>
      <c r="Y25" s="1370"/>
      <c r="Z25" s="1370"/>
      <c r="AA25" s="1370"/>
      <c r="AB25" s="1135"/>
      <c r="AC25" s="1377"/>
      <c r="AI25" s="308"/>
    </row>
    <row r="26" spans="1:35" ht="31.5" x14ac:dyDescent="0.25">
      <c r="A26" s="1346" t="s">
        <v>2393</v>
      </c>
      <c r="B26" s="886" t="str">
        <f>VLOOKUP(A26,A.P.U!C:F,2,0)</f>
        <v xml:space="preserve">Suministro e Instalación Tubería Pvc Corrugada 160 m.m. (6") para Alcantarillado.  Unión caucho (Según Norma NTC 3722 Y NTC5055)     </v>
      </c>
      <c r="C26" s="887" t="str">
        <f>VLOOKUP(A26,A.P.U!C:F,3,0)</f>
        <v>m</v>
      </c>
      <c r="D26" s="1085">
        <f>ROUND('Cantidades de obra'!C51,0)</f>
        <v>1680</v>
      </c>
      <c r="E26" s="1149">
        <f>VLOOKUP(A26,A.P.U!$C:$K,6,0)+VLOOKUP(A26,A.P.U!$C:$K,8,0)+VLOOKUP(A26,A.P.U!$C:$K,9,0)</f>
        <v>7807.9329375000007</v>
      </c>
      <c r="F26" s="888">
        <f>VLOOKUP(A26,A.P.U!$C:$K,7,0)</f>
        <v>27728.296000000002</v>
      </c>
      <c r="G26" s="1059">
        <f>ROUND(VLOOKUP(A26,A.P.U!C:F,4,0),0)</f>
        <v>35536</v>
      </c>
      <c r="H26" s="1331">
        <f>+G26*D26</f>
        <v>59700480</v>
      </c>
      <c r="I26" s="1330">
        <f t="shared" si="4"/>
        <v>13117327.335000001</v>
      </c>
      <c r="J26" s="1330">
        <f>(G26*D26)</f>
        <v>59700480</v>
      </c>
      <c r="K26" s="1330">
        <f t="shared" si="2"/>
        <v>46583152.664999999</v>
      </c>
      <c r="L26" s="1660">
        <v>7.1</v>
      </c>
      <c r="M26" s="1391"/>
      <c r="N26" s="1368"/>
      <c r="O26" s="1369"/>
      <c r="P26" s="1369"/>
      <c r="Q26" s="1368"/>
      <c r="R26" s="1369"/>
      <c r="S26" s="1369"/>
      <c r="T26" s="1368"/>
      <c r="U26" s="1369"/>
      <c r="V26" s="1369"/>
      <c r="W26" s="1368"/>
      <c r="X26" s="1369"/>
      <c r="Y26" s="1369"/>
      <c r="Z26" s="1368"/>
      <c r="AA26" s="1369"/>
      <c r="AB26" s="1392"/>
      <c r="AC26" s="1375"/>
      <c r="AI26" s="308"/>
    </row>
    <row r="27" spans="1:35" ht="31.5" x14ac:dyDescent="0.25">
      <c r="A27" s="1346" t="s">
        <v>2394</v>
      </c>
      <c r="B27" s="886" t="str">
        <f>VLOOKUP(A27,A.P.U!C:F,2,0)</f>
        <v xml:space="preserve">Suministro e Instalación Tubería Pvc Corrugada 250 m.m. (10") para Alcantarillado   Unión caucho (Según Norma NTC 3722 Y NTC5055)          </v>
      </c>
      <c r="C27" s="887" t="str">
        <f>VLOOKUP(A27,A.P.U!C:F,3,0)</f>
        <v>m</v>
      </c>
      <c r="D27" s="1085">
        <f>+'Cantidades de obra'!C52</f>
        <v>270</v>
      </c>
      <c r="E27" s="1149">
        <f>VLOOKUP(A27,A.P.U!$C:$K,6,0)+VLOOKUP(A27,A.P.U!$C:$K,8,0)+VLOOKUP(A27,A.P.U!$C:$K,9,0)</f>
        <v>8866.3368750000009</v>
      </c>
      <c r="F27" s="888">
        <f>VLOOKUP(A27,A.P.U!$C:$K,7,0)</f>
        <v>54760.646000000001</v>
      </c>
      <c r="G27" s="1059">
        <f>ROUND(VLOOKUP(A27,A.P.U!C:F,4,0),0)</f>
        <v>63627</v>
      </c>
      <c r="H27" s="1331">
        <f>+G27*D27</f>
        <v>17179290</v>
      </c>
      <c r="I27" s="1330"/>
      <c r="J27" s="1330"/>
      <c r="K27" s="1330"/>
      <c r="L27" s="1660"/>
      <c r="M27" s="1391"/>
      <c r="N27" s="1368"/>
      <c r="O27" s="1369"/>
      <c r="P27" s="1368"/>
      <c r="Q27" s="1368"/>
      <c r="R27" s="1369"/>
      <c r="S27" s="1368"/>
      <c r="T27" s="1368"/>
      <c r="U27" s="1369"/>
      <c r="V27" s="1368"/>
      <c r="W27" s="1368"/>
      <c r="X27" s="1369"/>
      <c r="Y27" s="1368"/>
      <c r="Z27" s="1368"/>
      <c r="AA27" s="1369"/>
      <c r="AB27" s="1393"/>
      <c r="AC27" s="1375"/>
      <c r="AI27" s="308"/>
    </row>
    <row r="28" spans="1:35" ht="31.5" x14ac:dyDescent="0.25">
      <c r="A28" s="1346" t="s">
        <v>2850</v>
      </c>
      <c r="B28" s="886" t="str">
        <f>VLOOKUP(A28,A.P.U!C:F,2,0)</f>
        <v xml:space="preserve">Suministro e Instalación Tubería Pvc Corrugada 315 m.m. (12") para Alcantarillado   Unión caucho (Según Norma NTC 3722 Y NTC5055)          </v>
      </c>
      <c r="C28" s="887" t="str">
        <f>VLOOKUP(A28,A.P.U!C:F,3,0)</f>
        <v>m</v>
      </c>
      <c r="D28" s="1085">
        <f>+'Cantidades de obra'!C53</f>
        <v>280</v>
      </c>
      <c r="E28" s="1149">
        <f>VLOOKUP(A28,A.P.U!$C:$K,6,0)+VLOOKUP(A28,A.P.U!$C:$K,8,0)+VLOOKUP(A28,A.P.U!$C:$K,9,0)</f>
        <v>8866.3368750000009</v>
      </c>
      <c r="F28" s="888">
        <f>VLOOKUP(A28,A.P.U!$C:$K,7,0)</f>
        <v>80702.22600000001</v>
      </c>
      <c r="G28" s="1059">
        <f>ROUND(VLOOKUP(A28,A.P.U!C:F,4,0),0)</f>
        <v>89569</v>
      </c>
      <c r="H28" s="1331">
        <f>+G28*D28</f>
        <v>25079320</v>
      </c>
      <c r="I28" s="1330"/>
      <c r="J28" s="1330"/>
      <c r="K28" s="1330"/>
      <c r="L28" s="1660"/>
      <c r="M28" s="1391"/>
      <c r="N28" s="1368"/>
      <c r="O28" s="1369"/>
      <c r="P28" s="1368"/>
      <c r="Q28" s="1368"/>
      <c r="R28" s="1369"/>
      <c r="S28" s="1368"/>
      <c r="T28" s="1368"/>
      <c r="U28" s="1369"/>
      <c r="V28" s="1368"/>
      <c r="W28" s="1368"/>
      <c r="X28" s="1369"/>
      <c r="Y28" s="1368"/>
      <c r="Z28" s="1368"/>
      <c r="AA28" s="1369"/>
      <c r="AB28" s="1393"/>
      <c r="AC28" s="1375"/>
      <c r="AI28" s="308"/>
    </row>
    <row r="29" spans="1:35" ht="31.5" x14ac:dyDescent="0.25">
      <c r="A29" s="1346" t="s">
        <v>2919</v>
      </c>
      <c r="B29" s="886" t="str">
        <f>VLOOKUP(A29,A.P.U!C:F,2,0)</f>
        <v xml:space="preserve">Suministro e Instalación Tubería Pvc Corrugada 355 m.m. (14") para Alcantarillado   Unión caucho (Según Norma NTC 3722 Y NTC5055)          </v>
      </c>
      <c r="C29" s="887" t="str">
        <f>VLOOKUP(A29,A.P.U!C:F,3,0)</f>
        <v>m</v>
      </c>
      <c r="D29" s="1085">
        <f>+'Cantidades de obra'!C54</f>
        <v>214</v>
      </c>
      <c r="E29" s="1149">
        <f>VLOOKUP(A29,A.P.U!$C:$K,6,0)+VLOOKUP(A29,A.P.U!$C:$K,8,0)+VLOOKUP(A29,A.P.U!$C:$K,9,0)</f>
        <v>8866.3368750000009</v>
      </c>
      <c r="F29" s="888">
        <f>VLOOKUP(A29,A.P.U!$C:$K,7,0)</f>
        <v>99705.72600000001</v>
      </c>
      <c r="G29" s="1059">
        <f>ROUND(VLOOKUP(A29,A.P.U!C:F,4,0),0)</f>
        <v>108572</v>
      </c>
      <c r="H29" s="1331">
        <f t="shared" ref="H29:H31" si="5">+G29*D29</f>
        <v>23234408</v>
      </c>
      <c r="I29" s="1330"/>
      <c r="J29" s="1330"/>
      <c r="K29" s="1330"/>
      <c r="L29" s="1660"/>
      <c r="M29" s="1391"/>
      <c r="N29" s="1368"/>
      <c r="O29" s="1369"/>
      <c r="P29" s="1368"/>
      <c r="Q29" s="1368"/>
      <c r="R29" s="1369"/>
      <c r="S29" s="1368"/>
      <c r="T29" s="1368"/>
      <c r="U29" s="1369"/>
      <c r="V29" s="1368"/>
      <c r="W29" s="1368"/>
      <c r="X29" s="1369"/>
      <c r="Y29" s="1368"/>
      <c r="Z29" s="1368"/>
      <c r="AA29" s="1369"/>
      <c r="AB29" s="1393"/>
      <c r="AC29" s="1375"/>
      <c r="AI29" s="308"/>
    </row>
    <row r="30" spans="1:35" ht="31.5" x14ac:dyDescent="0.25">
      <c r="A30" s="1346" t="s">
        <v>2396</v>
      </c>
      <c r="B30" s="886" t="str">
        <f>VLOOKUP(A30,A.P.U!C:F,2,0)</f>
        <v xml:space="preserve">Suministro e Instalación Tubería PVC Corrugada DE 625 m.m. (24") para Alcantarillado Unión caucho (Según Norma NTC 3722 Y NTC5055)       </v>
      </c>
      <c r="C30" s="887" t="str">
        <f>VLOOKUP(A30,A.P.U!C:F,3,0)</f>
        <v>m</v>
      </c>
      <c r="D30" s="1085">
        <f>+'Cantidades de obra'!C58</f>
        <v>21</v>
      </c>
      <c r="E30" s="1149">
        <f>VLOOKUP(A30,A.P.U!$C:$K,6,0)+VLOOKUP(A30,A.P.U!$C:$K,8,0)+VLOOKUP(A30,A.P.U!$C:$K,9,0)</f>
        <v>28056.751562499998</v>
      </c>
      <c r="F30" s="888">
        <f>VLOOKUP(A30,A.P.U!$C:$K,7,0)</f>
        <v>273372.05600000004</v>
      </c>
      <c r="G30" s="1059">
        <f>ROUND(VLOOKUP(A30,A.P.U!C:F,4,0),0)</f>
        <v>301429</v>
      </c>
      <c r="H30" s="1331">
        <f t="shared" si="5"/>
        <v>6330009</v>
      </c>
      <c r="I30" s="1330">
        <f t="shared" si="4"/>
        <v>589191.78281249991</v>
      </c>
      <c r="J30" s="1330">
        <f t="shared" si="1"/>
        <v>5740813.1760000009</v>
      </c>
      <c r="K30" s="1330">
        <f t="shared" si="2"/>
        <v>5740817.2171874996</v>
      </c>
      <c r="L30" s="1660"/>
      <c r="M30" s="1391"/>
      <c r="N30" s="1368"/>
      <c r="O30" s="1369"/>
      <c r="P30" s="1368"/>
      <c r="Q30" s="1368"/>
      <c r="R30" s="1369"/>
      <c r="S30" s="1368"/>
      <c r="T30" s="1368"/>
      <c r="U30" s="1368"/>
      <c r="V30" s="1368"/>
      <c r="W30" s="1368"/>
      <c r="X30" s="1368"/>
      <c r="Y30" s="1368"/>
      <c r="Z30" s="1368"/>
      <c r="AA30" s="1368"/>
      <c r="AB30" s="1393"/>
      <c r="AC30" s="1375"/>
      <c r="AI30" s="308"/>
    </row>
    <row r="31" spans="1:35" ht="31.5" x14ac:dyDescent="0.25">
      <c r="A31" s="1346" t="s">
        <v>2397</v>
      </c>
      <c r="B31" s="886" t="str">
        <f>VLOOKUP(A31,A.P.U!C:F,2,0)</f>
        <v xml:space="preserve">Suministro e Instalación Tubería PVC Corrugada DE 710 m.m. (27") para Alcantarillado. Unión caucho (Según Norma NTC 3722 Y NTC5055)     </v>
      </c>
      <c r="C31" s="887" t="str">
        <f>VLOOKUP(A31,A.P.U!C:F,3,0)</f>
        <v>m</v>
      </c>
      <c r="D31" s="1085">
        <f>ROUND('Cantidades de obra'!C59,0)</f>
        <v>124</v>
      </c>
      <c r="E31" s="1149">
        <f>VLOOKUP(A31,A.P.U!$C:$K,6,0)+VLOOKUP(A31,A.P.U!$C:$K,8,0)+VLOOKUP(A31,A.P.U!$C:$K,9,0)</f>
        <v>30401.603906249999</v>
      </c>
      <c r="F31" s="888">
        <f>VLOOKUP(A31,A.P.U!$C:$K,7,0)</f>
        <v>392779.59599999996</v>
      </c>
      <c r="G31" s="1059">
        <f>ROUND(VLOOKUP(A31,A.P.U!C:F,4,0),0)</f>
        <v>423181</v>
      </c>
      <c r="H31" s="1331">
        <f t="shared" si="5"/>
        <v>52474444</v>
      </c>
      <c r="I31" s="1330">
        <f t="shared" si="4"/>
        <v>3769798.8843749999</v>
      </c>
      <c r="J31" s="1330">
        <f t="shared" si="1"/>
        <v>48704669.903999992</v>
      </c>
      <c r="K31" s="1330">
        <f t="shared" si="2"/>
        <v>48704645.115625001</v>
      </c>
      <c r="L31" s="1660"/>
      <c r="M31" s="1391"/>
      <c r="N31" s="1368"/>
      <c r="O31" s="1369"/>
      <c r="P31" s="1368"/>
      <c r="Q31" s="1368"/>
      <c r="R31" s="1369"/>
      <c r="S31" s="1368"/>
      <c r="T31" s="1368"/>
      <c r="U31" s="1369"/>
      <c r="V31" s="1368"/>
      <c r="W31" s="1368"/>
      <c r="X31" s="1369"/>
      <c r="Y31" s="1368"/>
      <c r="Z31" s="1368"/>
      <c r="AA31" s="1369"/>
      <c r="AB31" s="1393"/>
      <c r="AC31" s="1375"/>
      <c r="AI31" s="308"/>
    </row>
    <row r="32" spans="1:35" ht="15.75" x14ac:dyDescent="0.25">
      <c r="A32" s="1669" t="s">
        <v>2718</v>
      </c>
      <c r="B32" s="1670"/>
      <c r="C32" s="1670"/>
      <c r="D32" s="1670"/>
      <c r="E32" s="1670"/>
      <c r="F32" s="1670"/>
      <c r="G32" s="1670"/>
      <c r="H32" s="1334"/>
      <c r="I32" s="1330">
        <f t="shared" si="4"/>
        <v>0</v>
      </c>
      <c r="J32" s="1330">
        <f t="shared" si="1"/>
        <v>0</v>
      </c>
      <c r="K32" s="1330">
        <f t="shared" si="2"/>
        <v>0</v>
      </c>
      <c r="L32" s="1135"/>
      <c r="M32" s="1395"/>
      <c r="N32" s="1370"/>
      <c r="O32" s="1370"/>
      <c r="P32" s="1370"/>
      <c r="Q32" s="1370"/>
      <c r="R32" s="1370"/>
      <c r="S32" s="1370"/>
      <c r="T32" s="1370"/>
      <c r="U32" s="1370"/>
      <c r="V32" s="1370"/>
      <c r="W32" s="1370"/>
      <c r="X32" s="1370"/>
      <c r="Y32" s="1370"/>
      <c r="Z32" s="1370"/>
      <c r="AA32" s="1370"/>
      <c r="AB32" s="1135"/>
      <c r="AC32" s="1377"/>
      <c r="AI32" s="308"/>
    </row>
    <row r="33" spans="1:35" ht="15.75" x14ac:dyDescent="0.25">
      <c r="A33" s="1346" t="s">
        <v>2403</v>
      </c>
      <c r="B33" s="886" t="str">
        <f>VLOOKUP(A33,A.P.U!C:F,2,0)</f>
        <v xml:space="preserve">Cámara Circular de Inspección/Caída D=1.20 m. en Concreto 21 Mpa        </v>
      </c>
      <c r="C33" s="887" t="str">
        <f>VLOOKUP(A33,A.P.U!C:F,3,0)</f>
        <v>Ml</v>
      </c>
      <c r="D33" s="1084">
        <f>ROUND('Cantidades de obra'!N82,0)</f>
        <v>64</v>
      </c>
      <c r="E33" s="1149">
        <f>VLOOKUP(A33,A.P.U!$C:$K,6,0)+VLOOKUP(A33,A.P.U!$C:$K,8,0)+VLOOKUP(A33,A.P.U!$C:$K,9,0)</f>
        <v>103777.85411098877</v>
      </c>
      <c r="F33" s="888">
        <f>VLOOKUP(A33,A.P.U!$C:$K,7,0)</f>
        <v>260107.12024270053</v>
      </c>
      <c r="G33" s="1059">
        <f>ROUND(VLOOKUP(A33,A.P.U!C:F,4,0),0)</f>
        <v>363885</v>
      </c>
      <c r="H33" s="1331">
        <f>+G33*D33</f>
        <v>23288640</v>
      </c>
      <c r="I33" s="1330">
        <f>(D33*G33)</f>
        <v>23288640</v>
      </c>
      <c r="J33" s="1330">
        <v>0</v>
      </c>
      <c r="K33" s="1330">
        <f t="shared" si="2"/>
        <v>0</v>
      </c>
      <c r="L33" s="1360">
        <v>8.1</v>
      </c>
      <c r="M33" s="1394"/>
      <c r="N33" s="1326"/>
      <c r="O33" s="1326"/>
      <c r="P33" s="1362"/>
      <c r="Q33" s="1326"/>
      <c r="R33" s="1326"/>
      <c r="S33" s="1362"/>
      <c r="T33" s="1326"/>
      <c r="U33" s="1326"/>
      <c r="V33" s="1362"/>
      <c r="W33" s="1326"/>
      <c r="X33" s="1326"/>
      <c r="Y33" s="1362"/>
      <c r="Z33" s="1326"/>
      <c r="AA33" s="1326"/>
      <c r="AB33" s="1360"/>
      <c r="AC33" s="1378"/>
      <c r="AI33" s="308"/>
    </row>
    <row r="34" spans="1:35" ht="15.75" x14ac:dyDescent="0.25">
      <c r="A34" s="1346" t="s">
        <v>2412</v>
      </c>
      <c r="B34" s="886" t="str">
        <f>VLOOKUP(A34,A.P.U!C:F,2,0)</f>
        <v>Sumidero Doble Reja tipo Sifón en Concreto 21 Mpa-Tapa HF</v>
      </c>
      <c r="C34" s="887" t="str">
        <f>VLOOKUP(A34,A.P.U!C:F,3,0)</f>
        <v>Un</v>
      </c>
      <c r="D34" s="1084">
        <v>10</v>
      </c>
      <c r="E34" s="1149">
        <f>VLOOKUP(A34,A.P.U!$C:$K,6,0)+VLOOKUP(A34,A.P.U!$C:$K,8,0)+VLOOKUP(A34,A.P.U!$C:$K,9,0)</f>
        <v>142892.32253604001</v>
      </c>
      <c r="F34" s="888">
        <f>VLOOKUP(A34,A.P.U!$C:$K,7,0)</f>
        <v>944149.118625</v>
      </c>
      <c r="G34" s="1059">
        <f>ROUND(VLOOKUP(A34,A.P.U!C:F,4,0),0)</f>
        <v>1087041</v>
      </c>
      <c r="H34" s="1331">
        <f>+G34*D34</f>
        <v>10870410</v>
      </c>
      <c r="I34" s="1330">
        <f t="shared" ref="I34:I37" si="6">(D34*G34)</f>
        <v>10870410</v>
      </c>
      <c r="J34" s="1330">
        <v>0</v>
      </c>
      <c r="K34" s="1330">
        <f t="shared" si="2"/>
        <v>0</v>
      </c>
      <c r="L34" s="1360">
        <v>8.6999999999999993</v>
      </c>
      <c r="M34" s="1394"/>
      <c r="N34" s="1326"/>
      <c r="O34" s="1326"/>
      <c r="P34" s="1362"/>
      <c r="Q34" s="1326"/>
      <c r="R34" s="1326"/>
      <c r="S34" s="1362"/>
      <c r="T34" s="1326"/>
      <c r="U34" s="1326"/>
      <c r="V34" s="1362"/>
      <c r="W34" s="1326"/>
      <c r="X34" s="1326"/>
      <c r="Y34" s="1362"/>
      <c r="Z34" s="1326"/>
      <c r="AA34" s="1326"/>
      <c r="AB34" s="1360"/>
      <c r="AC34" s="1378"/>
      <c r="AI34" s="308"/>
    </row>
    <row r="35" spans="1:35" ht="15.75" x14ac:dyDescent="0.25">
      <c r="A35" s="1346" t="s">
        <v>2405</v>
      </c>
      <c r="B35" s="886" t="str">
        <f>VLOOKUP(A35,A.P.U!C:F,2,0)</f>
        <v xml:space="preserve">Base-Cañuela Cámara Circular Inspec D=1.20 m en Concreto 21 Mpa                      </v>
      </c>
      <c r="C35" s="887" t="str">
        <f>VLOOKUP(A35,A.P.U!C:F,3,0)</f>
        <v>Un</v>
      </c>
      <c r="D35" s="1084">
        <f>+'Cantidades de obra'!AK5</f>
        <v>38</v>
      </c>
      <c r="E35" s="1149">
        <f>VLOOKUP(A35,A.P.U!$C:$K,6,0)+VLOOKUP(A35,A.P.U!$C:$K,8,0)+VLOOKUP(A35,A.P.U!$C:$K,9,0)</f>
        <v>114808.72493890804</v>
      </c>
      <c r="F35" s="888">
        <f>VLOOKUP(A35,A.P.U!$C:$K,7,0)</f>
        <v>194503.38053696553</v>
      </c>
      <c r="G35" s="1059">
        <f>ROUND(VLOOKUP(A35,A.P.U!C:F,4,0),0)</f>
        <v>309312</v>
      </c>
      <c r="H35" s="1331">
        <f t="shared" ref="H35:H40" si="7">+G35*D35</f>
        <v>11753856</v>
      </c>
      <c r="I35" s="1330">
        <f t="shared" si="6"/>
        <v>11753856</v>
      </c>
      <c r="J35" s="1330">
        <v>0</v>
      </c>
      <c r="K35" s="1330">
        <f t="shared" si="2"/>
        <v>0</v>
      </c>
      <c r="L35" s="1360">
        <v>8.8000000000000007</v>
      </c>
      <c r="M35" s="1394"/>
      <c r="N35" s="1326"/>
      <c r="O35" s="1326"/>
      <c r="P35" s="1362"/>
      <c r="Q35" s="1326"/>
      <c r="R35" s="1326"/>
      <c r="S35" s="1362"/>
      <c r="T35" s="1326"/>
      <c r="U35" s="1326"/>
      <c r="V35" s="1362"/>
      <c r="W35" s="1326"/>
      <c r="X35" s="1326"/>
      <c r="Y35" s="1362"/>
      <c r="Z35" s="1326"/>
      <c r="AA35" s="1326"/>
      <c r="AB35" s="1360"/>
      <c r="AC35" s="1378"/>
      <c r="AI35" s="308"/>
    </row>
    <row r="36" spans="1:35" ht="15.75" x14ac:dyDescent="0.25">
      <c r="A36" s="1346" t="s">
        <v>2407</v>
      </c>
      <c r="B36" s="886" t="str">
        <f>VLOOKUP(A36,A.P.U!C:F,2,0)</f>
        <v xml:space="preserve">Tapa HF D=0.60 m. p/Cámara de Inspección              </v>
      </c>
      <c r="C36" s="887" t="str">
        <f>VLOOKUP(A36,A.P.U!C:F,3,0)</f>
        <v>Un</v>
      </c>
      <c r="D36" s="1084">
        <f>+D35</f>
        <v>38</v>
      </c>
      <c r="E36" s="1149">
        <f>VLOOKUP(A36,A.P.U!$C:$K,6,0)+VLOOKUP(A36,A.P.U!$C:$K,8,0)+VLOOKUP(A36,A.P.U!$C:$K,9,0)</f>
        <v>31054.857906187503</v>
      </c>
      <c r="F36" s="888">
        <f>VLOOKUP(A36,A.P.U!$C:$K,7,0)</f>
        <v>222407.49300000005</v>
      </c>
      <c r="G36" s="1059">
        <f>ROUND(VLOOKUP(A36,A.P.U!C:F,4,0),0)</f>
        <v>253462</v>
      </c>
      <c r="H36" s="1331">
        <f t="shared" si="7"/>
        <v>9631556</v>
      </c>
      <c r="I36" s="1330">
        <f t="shared" si="6"/>
        <v>9631556</v>
      </c>
      <c r="J36" s="1330">
        <v>0</v>
      </c>
      <c r="K36" s="1330">
        <f t="shared" si="2"/>
        <v>0</v>
      </c>
      <c r="L36" s="1360">
        <v>8.6</v>
      </c>
      <c r="M36" s="1394"/>
      <c r="N36" s="1326"/>
      <c r="O36" s="1326"/>
      <c r="P36" s="1362"/>
      <c r="Q36" s="1326"/>
      <c r="R36" s="1326"/>
      <c r="S36" s="1362"/>
      <c r="T36" s="1326"/>
      <c r="U36" s="1326"/>
      <c r="V36" s="1362"/>
      <c r="W36" s="1326"/>
      <c r="X36" s="1326"/>
      <c r="Y36" s="1362"/>
      <c r="Z36" s="1326"/>
      <c r="AA36" s="1326"/>
      <c r="AB36" s="1360"/>
      <c r="AC36" s="1378"/>
      <c r="AI36" s="308"/>
    </row>
    <row r="37" spans="1:35" ht="15.75" x14ac:dyDescent="0.25">
      <c r="A37" s="1346" t="s">
        <v>2409</v>
      </c>
      <c r="B37" s="886" t="str">
        <f>VLOOKUP(A37,A.P.U!C:F,2,0)</f>
        <v xml:space="preserve">Caja de Inspección Empalme domiciliario  (0,50x0,50 m) en Concreto 21 Mpa            </v>
      </c>
      <c r="C37" s="887" t="str">
        <f>VLOOKUP(A37,A.P.U!C:F,3,0)</f>
        <v>UN</v>
      </c>
      <c r="D37" s="1084">
        <f>'Cantidades de obra'!AD48</f>
        <v>280</v>
      </c>
      <c r="E37" s="1149">
        <f>VLOOKUP(A37,A.P.U!$C:$K,6,0)+VLOOKUP(A37,A.P.U!$C:$K,8,0)+VLOOKUP(A37,A.P.U!$C:$K,9,0)</f>
        <v>120487.58474156252</v>
      </c>
      <c r="F37" s="888">
        <f>VLOOKUP(A37,A.P.U!$C:$K,7,0)</f>
        <v>77527.265715900008</v>
      </c>
      <c r="G37" s="1059">
        <f>ROUND(VLOOKUP(A37,A.P.U!C:F,4,0),0)</f>
        <v>198015</v>
      </c>
      <c r="H37" s="1331">
        <f t="shared" si="7"/>
        <v>55444200</v>
      </c>
      <c r="I37" s="1330">
        <f t="shared" si="6"/>
        <v>55444200</v>
      </c>
      <c r="J37" s="1330">
        <v>0</v>
      </c>
      <c r="K37" s="1330">
        <f t="shared" si="2"/>
        <v>0</v>
      </c>
      <c r="L37" s="1360">
        <v>8.5</v>
      </c>
      <c r="M37" s="1394"/>
      <c r="N37" s="1326"/>
      <c r="O37" s="1369"/>
      <c r="P37" s="1369"/>
      <c r="Q37" s="1326"/>
      <c r="R37" s="1326"/>
      <c r="S37" s="1369"/>
      <c r="T37" s="1369"/>
      <c r="U37" s="1326"/>
      <c r="V37" s="1326"/>
      <c r="W37" s="1369"/>
      <c r="X37" s="1369"/>
      <c r="Y37" s="1326"/>
      <c r="Z37" s="1326"/>
      <c r="AA37" s="1369"/>
      <c r="AB37" s="1392"/>
      <c r="AC37" s="1375"/>
      <c r="AI37" s="308"/>
    </row>
    <row r="38" spans="1:35" s="1126" customFormat="1" ht="31.5" x14ac:dyDescent="0.2">
      <c r="A38" s="1352" t="s">
        <v>2627</v>
      </c>
      <c r="B38" s="1127" t="str">
        <f>VLOOKUP(A38,A.P.U!C:F,2,0)</f>
        <v xml:space="preserve">Suministro e instalación Kit Silla Y - Empalme para Pvc Corrugada de 250 x 160 m.m. (Suministro/Instalación)                       </v>
      </c>
      <c r="C38" s="887" t="str">
        <f>VLOOKUP(A38,A.P.U!C:F,3,0)</f>
        <v>Un</v>
      </c>
      <c r="D38" s="1363">
        <f>+'Cantidades de obra'!L100</f>
        <v>81</v>
      </c>
      <c r="E38" s="1136">
        <f>VLOOKUP(A38,A.P.U!$C:$K,6,0)+VLOOKUP(A38,A.P.U!$C:$K,8,0)+VLOOKUP(A38,A.P.U!$C:$K,9,0)</f>
        <v>43357.020249896719</v>
      </c>
      <c r="F38" s="1136">
        <f>VLOOKUP(A38,A.P.U!$C:$K,7,0)</f>
        <v>202716.87378731256</v>
      </c>
      <c r="G38" s="1136">
        <f>ROUND(VLOOKUP(A38,A.P.U!C:F,4,0),0)</f>
        <v>246074</v>
      </c>
      <c r="H38" s="1364">
        <f t="shared" si="7"/>
        <v>19931994</v>
      </c>
      <c r="I38" s="1333"/>
      <c r="J38" s="1333"/>
      <c r="K38" s="1333"/>
      <c r="L38" s="1660">
        <v>8.8000000000000007</v>
      </c>
      <c r="M38" s="1391"/>
      <c r="N38" s="1368"/>
      <c r="O38" s="1369"/>
      <c r="P38" s="1369"/>
      <c r="Q38" s="1368"/>
      <c r="R38" s="1368"/>
      <c r="S38" s="1369"/>
      <c r="T38" s="1369"/>
      <c r="U38" s="1368"/>
      <c r="V38" s="1368"/>
      <c r="W38" s="1369"/>
      <c r="X38" s="1369"/>
      <c r="Y38" s="1368"/>
      <c r="Z38" s="1368"/>
      <c r="AA38" s="1368"/>
      <c r="AB38" s="1393"/>
      <c r="AC38" s="1375"/>
      <c r="AI38" s="1130"/>
    </row>
    <row r="39" spans="1:35" s="1126" customFormat="1" ht="31.5" x14ac:dyDescent="0.25">
      <c r="A39" s="1352" t="s">
        <v>2400</v>
      </c>
      <c r="B39" s="1127" t="str">
        <f>VLOOKUP(A39,A.P.U!C:F,2,0)</f>
        <v xml:space="preserve">Suministro e instalación Kit Silla Y - Empalme para Pvc Corrugada de 315 mm x 160 m.m. (Suministro/Instalación)                                         </v>
      </c>
      <c r="C39" s="1128" t="str">
        <f>VLOOKUP(A39,A.P.U!C:F,3,0)</f>
        <v>Un</v>
      </c>
      <c r="D39" s="1085">
        <f>+'Cantidades de obra'!L101</f>
        <v>112</v>
      </c>
      <c r="E39" s="1150">
        <f>VLOOKUP(A39,A.P.U!$C:$K,6,0)+VLOOKUP(A39,A.P.U!$C:$K,8,0)+VLOOKUP(A39,A.P.U!$C:$K,9,0)</f>
        <v>50313.41530200564</v>
      </c>
      <c r="F39" s="1129">
        <f>VLOOKUP(A39,A.P.U!$C:$K,7,0)</f>
        <v>220246.07773245004</v>
      </c>
      <c r="G39" s="1136">
        <f>ROUND(VLOOKUP(A39,A.P.U!C:F,4,0),0)</f>
        <v>270559</v>
      </c>
      <c r="H39" s="1332">
        <f t="shared" si="7"/>
        <v>30302608</v>
      </c>
      <c r="I39" s="1333"/>
      <c r="J39" s="1333"/>
      <c r="K39" s="1333"/>
      <c r="L39" s="1660"/>
      <c r="M39" s="1391"/>
      <c r="N39" s="1368"/>
      <c r="O39" s="1369"/>
      <c r="P39" s="1369"/>
      <c r="Q39" s="1368"/>
      <c r="R39" s="1368"/>
      <c r="S39" s="1369"/>
      <c r="T39" s="1369"/>
      <c r="U39" s="1368"/>
      <c r="V39" s="1368"/>
      <c r="W39" s="1369"/>
      <c r="X39" s="1369"/>
      <c r="Y39" s="1368"/>
      <c r="Z39" s="1368"/>
      <c r="AA39" s="1369"/>
      <c r="AB39" s="1392"/>
      <c r="AC39" s="1375"/>
      <c r="AI39" s="1130"/>
    </row>
    <row r="40" spans="1:35" s="1126" customFormat="1" ht="31.5" x14ac:dyDescent="0.25">
      <c r="A40" s="1350" t="s">
        <v>2399</v>
      </c>
      <c r="B40" s="1127" t="str">
        <f>VLOOKUP(A40,A.P.U!C:F,2,0)</f>
        <v xml:space="preserve">Suministro e instalación Kit Silla Y - Empalme para Pvc Corrugada de 355 x 160 m.m. (Suministro/Instalación)                                         </v>
      </c>
      <c r="C40" s="1128" t="str">
        <f>VLOOKUP(A40,A.P.U!C:F,3,0)</f>
        <v>Un</v>
      </c>
      <c r="D40" s="1085">
        <f>+'Cantidades de obra'!L102</f>
        <v>87</v>
      </c>
      <c r="E40" s="1150">
        <f>VLOOKUP(A40,A.P.U!$C:$K,6,0)+VLOOKUP(A40,A.P.U!$C:$K,8,0)+VLOOKUP(A40,A.P.U!$C:$K,9,0)</f>
        <v>50313.41530200564</v>
      </c>
      <c r="F40" s="1129">
        <f>VLOOKUP(A40,A.P.U!$C:$K,7,0)</f>
        <v>312206.54055140557</v>
      </c>
      <c r="G40" s="1136">
        <f>ROUND(VLOOKUP(A40,A.P.U!C:F,4,0),0)</f>
        <v>362520</v>
      </c>
      <c r="H40" s="1332">
        <f t="shared" si="7"/>
        <v>31539240</v>
      </c>
      <c r="I40" s="1333">
        <f>(D40*E40)</f>
        <v>4377267.1312744906</v>
      </c>
      <c r="J40" s="1333">
        <f>(F40*D40)</f>
        <v>27161969.027972285</v>
      </c>
      <c r="K40" s="1333">
        <f>+H40-I40</f>
        <v>27161972.868725508</v>
      </c>
      <c r="L40" s="1660"/>
      <c r="M40" s="1391"/>
      <c r="N40" s="1368"/>
      <c r="O40" s="1369"/>
      <c r="P40" s="1369"/>
      <c r="Q40" s="1368"/>
      <c r="R40" s="1368"/>
      <c r="S40" s="1369"/>
      <c r="T40" s="1369"/>
      <c r="U40" s="1368"/>
      <c r="V40" s="1368"/>
      <c r="W40" s="1368"/>
      <c r="X40" s="1368"/>
      <c r="Y40" s="1368"/>
      <c r="Z40" s="1368"/>
      <c r="AA40" s="1368"/>
      <c r="AB40" s="1393"/>
      <c r="AC40" s="1375"/>
      <c r="AI40" s="1130"/>
    </row>
    <row r="41" spans="1:35" ht="18" customHeight="1" x14ac:dyDescent="0.25">
      <c r="A41" s="1190"/>
      <c r="B41" s="1670" t="s">
        <v>2719</v>
      </c>
      <c r="C41" s="1670"/>
      <c r="D41" s="1670"/>
      <c r="E41" s="1670"/>
      <c r="F41" s="1670"/>
      <c r="G41" s="1670"/>
      <c r="H41" s="1670"/>
      <c r="I41" s="1330">
        <f t="shared" ref="I41:I43" si="8">(D41*E41)</f>
        <v>0</v>
      </c>
      <c r="J41" s="1330">
        <f t="shared" ref="J41:J51" si="9">(F41*D41)</f>
        <v>0</v>
      </c>
      <c r="K41" s="1330">
        <f t="shared" ref="K41:K52" si="10">+H41-I41</f>
        <v>0</v>
      </c>
      <c r="L41" s="1135"/>
      <c r="M41" s="1395"/>
      <c r="N41" s="1370"/>
      <c r="O41" s="1370"/>
      <c r="P41" s="1370"/>
      <c r="Q41" s="1370"/>
      <c r="R41" s="1370"/>
      <c r="S41" s="1370"/>
      <c r="T41" s="1370"/>
      <c r="U41" s="1370"/>
      <c r="V41" s="1370"/>
      <c r="W41" s="1370"/>
      <c r="X41" s="1370"/>
      <c r="Y41" s="1370"/>
      <c r="Z41" s="1370"/>
      <c r="AA41" s="1370"/>
      <c r="AB41" s="1135"/>
      <c r="AC41" s="1377"/>
      <c r="AI41" s="308"/>
    </row>
    <row r="42" spans="1:35" ht="31.5" x14ac:dyDescent="0.25">
      <c r="A42" s="1346" t="s">
        <v>2103</v>
      </c>
      <c r="B42" s="886" t="str">
        <f>VLOOKUP(A42,A.P.U!C:F,2,0)</f>
        <v>Suministros, Transporte e Instalacion Subbase p/Pavimentos en Material Granular Seleccionado compactado (e=0.25 m)</v>
      </c>
      <c r="C42" s="887" t="str">
        <f>VLOOKUP(A42,A.P.U!C:F,3,0)</f>
        <v>M3</v>
      </c>
      <c r="D42" s="1084">
        <f>ROUND('Cantidades de obra'!N88+'cant acued'!I20,2)</f>
        <v>333.33</v>
      </c>
      <c r="E42" s="890">
        <f>VLOOKUP(A42,A.P.U!$C:$K,6,0)+VLOOKUP(A42,A.P.U!$C:$K,8,0)+VLOOKUP(A42,A.P.U!$C:$K,9,0)</f>
        <v>20204.5592</v>
      </c>
      <c r="F42" s="890">
        <f>VLOOKUP(A42,A.P.U!$C:$K,7,0)</f>
        <v>53560</v>
      </c>
      <c r="G42" s="1059">
        <f>ROUND(VLOOKUP(A42,A.P.U!C:F,4,0),0)</f>
        <v>73765</v>
      </c>
      <c r="H42" s="1331">
        <f t="shared" ref="H42:H52" si="11">(D42*G42)</f>
        <v>24588087.449999999</v>
      </c>
      <c r="I42" s="1330">
        <f>(D42*G42)</f>
        <v>24588087.449999999</v>
      </c>
      <c r="J42" s="1330">
        <v>0</v>
      </c>
      <c r="K42" s="1330">
        <f t="shared" si="10"/>
        <v>0</v>
      </c>
      <c r="L42" s="1351" t="s">
        <v>2933</v>
      </c>
      <c r="M42" s="1394"/>
      <c r="N42" s="1326"/>
      <c r="O42" s="1326"/>
      <c r="P42" s="1326"/>
      <c r="Q42" s="1362"/>
      <c r="R42" s="1326"/>
      <c r="S42" s="1326"/>
      <c r="T42" s="1326"/>
      <c r="U42" s="1326"/>
      <c r="V42" s="1362"/>
      <c r="W42" s="1326"/>
      <c r="X42" s="1326"/>
      <c r="Y42" s="1326"/>
      <c r="Z42" s="1326"/>
      <c r="AA42" s="1362"/>
      <c r="AB42" s="1351"/>
      <c r="AC42" s="1376"/>
      <c r="AI42" s="308"/>
    </row>
    <row r="43" spans="1:35" ht="18" customHeight="1" x14ac:dyDescent="0.25">
      <c r="A43" s="1348"/>
      <c r="B43" s="1192" t="s">
        <v>2089</v>
      </c>
      <c r="C43" s="1192"/>
      <c r="D43" s="1083"/>
      <c r="E43" s="1148"/>
      <c r="F43" s="889"/>
      <c r="G43" s="1134"/>
      <c r="H43" s="1329"/>
      <c r="I43" s="1330">
        <f t="shared" si="8"/>
        <v>0</v>
      </c>
      <c r="J43" s="1330">
        <f t="shared" si="9"/>
        <v>0</v>
      </c>
      <c r="K43" s="1330">
        <f t="shared" si="10"/>
        <v>0</v>
      </c>
      <c r="L43" s="1349"/>
      <c r="M43" s="1389"/>
      <c r="N43" s="1367"/>
      <c r="O43" s="1367"/>
      <c r="P43" s="1367"/>
      <c r="Q43" s="1367"/>
      <c r="R43" s="1367"/>
      <c r="S43" s="1367"/>
      <c r="T43" s="1367"/>
      <c r="U43" s="1367"/>
      <c r="V43" s="1367"/>
      <c r="W43" s="1367"/>
      <c r="X43" s="1367"/>
      <c r="Y43" s="1367"/>
      <c r="Z43" s="1367"/>
      <c r="AA43" s="1367"/>
      <c r="AB43" s="1349"/>
      <c r="AC43" s="1373"/>
      <c r="AI43" s="308"/>
    </row>
    <row r="44" spans="1:35" ht="15.75" x14ac:dyDescent="0.25">
      <c r="A44" s="1346" t="s">
        <v>2107</v>
      </c>
      <c r="B44" s="886" t="str">
        <f>VLOOKUP(A44,A.P.U!C:F,2,0)</f>
        <v xml:space="preserve">Pavimentos completos en concreto producido en obra  Mr= 42 Kg/cm2, (e=0.18 m)      </v>
      </c>
      <c r="C44" s="887" t="str">
        <f>VLOOKUP(A44,A.P.U!C:F,3,0)</f>
        <v>M3</v>
      </c>
      <c r="D44" s="1084">
        <f>ROUND('Cantidades de obra'!H92,2)</f>
        <v>280.07</v>
      </c>
      <c r="E44" s="890">
        <f>VLOOKUP(A44,A.P.U!$C:$K,6,0)+VLOOKUP(A44,A.P.U!$C:$K,8,0)+VLOOKUP(A44,A.P.U!$C:$K,9,0)</f>
        <v>132853.48850000001</v>
      </c>
      <c r="F44" s="890">
        <f>VLOOKUP(A44,A.P.U!$C:$K,7,0)</f>
        <v>359748.70999999996</v>
      </c>
      <c r="G44" s="1059">
        <f>ROUND(VLOOKUP(A44,A.P.U!C:F,4,0),0)</f>
        <v>492602</v>
      </c>
      <c r="H44" s="1331">
        <f t="shared" si="11"/>
        <v>137963042.13999999</v>
      </c>
      <c r="I44" s="1330">
        <f>(D44*G44)</f>
        <v>137963042.13999999</v>
      </c>
      <c r="J44" s="1330">
        <v>0</v>
      </c>
      <c r="K44" s="1330">
        <f t="shared" si="10"/>
        <v>0</v>
      </c>
      <c r="L44" s="1360">
        <v>9.1</v>
      </c>
      <c r="M44" s="1394"/>
      <c r="N44" s="1326"/>
      <c r="O44" s="1326"/>
      <c r="P44" s="1365"/>
      <c r="Q44" s="1365"/>
      <c r="R44" s="1326"/>
      <c r="S44" s="1326"/>
      <c r="T44" s="1326"/>
      <c r="U44" s="1365"/>
      <c r="V44" s="1365"/>
      <c r="W44" s="1326"/>
      <c r="X44" s="1326"/>
      <c r="Y44" s="1326"/>
      <c r="Z44" s="1365"/>
      <c r="AA44" s="1365"/>
      <c r="AB44" s="1396"/>
      <c r="AC44" s="1373"/>
      <c r="AI44" s="308"/>
    </row>
    <row r="45" spans="1:35" ht="15.75" x14ac:dyDescent="0.25">
      <c r="A45" s="1346" t="s">
        <v>2108</v>
      </c>
      <c r="B45" s="886" t="str">
        <f>VLOOKUP(A45,A.P.U!C:F,2,0)</f>
        <v xml:space="preserve">Andenes/Rampas/Peatonales en Concreto Premezclado (21 Mpa)                    </v>
      </c>
      <c r="C45" s="887" t="str">
        <f>VLOOKUP(A45,A.P.U!C:F,3,0)</f>
        <v>M3</v>
      </c>
      <c r="D45" s="1084">
        <f>ROUND('Cantidades de obra'!H94,2)</f>
        <v>19.7</v>
      </c>
      <c r="E45" s="890">
        <f>VLOOKUP(A45,A.P.U!$C:$K,6,0)+VLOOKUP(A45,A.P.U!$C:$K,8,0)+VLOOKUP(A45,A.P.U!$C:$K,9,0)</f>
        <v>88567.544750000001</v>
      </c>
      <c r="F45" s="890">
        <f>VLOOKUP(A45,A.P.U!$C:$K,7,0)</f>
        <v>295063.54668000003</v>
      </c>
      <c r="G45" s="1059">
        <f>ROUND(VLOOKUP(A45,A.P.U!C:F,4,0),0)</f>
        <v>383631</v>
      </c>
      <c r="H45" s="1331">
        <f t="shared" si="11"/>
        <v>7557530.7000000002</v>
      </c>
      <c r="I45" s="1330">
        <f t="shared" ref="I45:I52" si="12">(D45*G45)</f>
        <v>7557530.7000000002</v>
      </c>
      <c r="J45" s="1330">
        <v>0</v>
      </c>
      <c r="K45" s="1330">
        <f t="shared" si="10"/>
        <v>0</v>
      </c>
      <c r="L45" s="1360">
        <v>9.15</v>
      </c>
      <c r="M45" s="1394"/>
      <c r="N45" s="1326"/>
      <c r="O45" s="1326"/>
      <c r="P45" s="1326"/>
      <c r="Q45" s="1362"/>
      <c r="R45" s="1326"/>
      <c r="S45" s="1326"/>
      <c r="T45" s="1326"/>
      <c r="U45" s="1326"/>
      <c r="V45" s="1362"/>
      <c r="W45" s="1326"/>
      <c r="X45" s="1326"/>
      <c r="Y45" s="1326"/>
      <c r="Z45" s="1362"/>
      <c r="AA45" s="1362"/>
      <c r="AB45" s="1397"/>
      <c r="AC45" s="1378"/>
      <c r="AI45" s="308"/>
    </row>
    <row r="46" spans="1:35" ht="15.75" x14ac:dyDescent="0.25">
      <c r="A46" s="1346" t="s">
        <v>2109</v>
      </c>
      <c r="B46" s="886" t="str">
        <f>VLOOKUP(A46,A.P.U!C:F,2,0)</f>
        <v xml:space="preserve">Corte mecanizado de Pavimentos de Concreto Hidráulico        (0.07 m.)                                </v>
      </c>
      <c r="C46" s="887" t="str">
        <f>VLOOKUP(A46,A.P.U!C:F,3,0)</f>
        <v>Ml</v>
      </c>
      <c r="D46" s="1084">
        <f>D47</f>
        <v>1191</v>
      </c>
      <c r="E46" s="890">
        <f>VLOOKUP(A46,A.P.U!$C:$K,6,0)+VLOOKUP(A46,A.P.U!$C:$K,8,0)+VLOOKUP(A46,A.P.U!$C:$K,9,0)</f>
        <v>4487.7922499999995</v>
      </c>
      <c r="F46" s="890">
        <f>VLOOKUP(A46,A.P.U!$C:$K,7,0)</f>
        <v>164.79999999999998</v>
      </c>
      <c r="G46" s="1059">
        <f>ROUND(VLOOKUP(A46,A.P.U!C:F,4,0),0)</f>
        <v>4653</v>
      </c>
      <c r="H46" s="1331">
        <f t="shared" si="11"/>
        <v>5541723</v>
      </c>
      <c r="I46" s="1330">
        <f t="shared" si="12"/>
        <v>5541723</v>
      </c>
      <c r="J46" s="1330">
        <v>0</v>
      </c>
      <c r="K46" s="1330">
        <f t="shared" si="10"/>
        <v>0</v>
      </c>
      <c r="L46" s="1360">
        <v>9.1199999999999992</v>
      </c>
      <c r="M46" s="1398"/>
      <c r="N46" s="1326"/>
      <c r="O46" s="1326"/>
      <c r="P46" s="1326"/>
      <c r="Q46" s="1362"/>
      <c r="R46" s="1326"/>
      <c r="S46" s="1326"/>
      <c r="T46" s="1326"/>
      <c r="U46" s="1362"/>
      <c r="V46" s="1326"/>
      <c r="W46" s="1326"/>
      <c r="X46" s="1326"/>
      <c r="Y46" s="1362"/>
      <c r="Z46" s="1326"/>
      <c r="AA46" s="1326"/>
      <c r="AB46" s="1360"/>
      <c r="AC46" s="1378"/>
      <c r="AI46" s="308"/>
    </row>
    <row r="47" spans="1:35" ht="15.75" x14ac:dyDescent="0.25">
      <c r="A47" s="1346" t="s">
        <v>2122</v>
      </c>
      <c r="B47" s="886" t="str">
        <f>VLOOKUP(A47,A.P.U!C:F,2,0)</f>
        <v xml:space="preserve">Sellado de Juntas de Pavimentos de Concreto Hidráulico            (0.005 m)                        </v>
      </c>
      <c r="C47" s="887" t="str">
        <f>VLOOKUP(A47,A.P.U!C:F,3,0)</f>
        <v>Ml</v>
      </c>
      <c r="D47" s="1085">
        <f>ROUND('Cantidades de obra'!AM48+'Cantidades de obra'!AN48,0)</f>
        <v>1191</v>
      </c>
      <c r="E47" s="890">
        <f>VLOOKUP(A47,A.P.U!$C:$K,6,0)+VLOOKUP(A47,A.P.U!$C:$K,8,0)+VLOOKUP(A47,A.P.U!$C:$K,9,0)</f>
        <v>1534.5046125000001</v>
      </c>
      <c r="F47" s="890">
        <f>VLOOKUP(A47,A.P.U!$C:$K,7,0)</f>
        <v>1659.7</v>
      </c>
      <c r="G47" s="1059">
        <f>ROUND(VLOOKUP(A47,A.P.U!C:F,4,0),0)</f>
        <v>3194</v>
      </c>
      <c r="H47" s="1331">
        <f t="shared" si="11"/>
        <v>3804054</v>
      </c>
      <c r="I47" s="1330">
        <f t="shared" si="12"/>
        <v>3804054</v>
      </c>
      <c r="J47" s="1330">
        <v>0</v>
      </c>
      <c r="K47" s="1330">
        <f t="shared" si="10"/>
        <v>0</v>
      </c>
      <c r="L47" s="1360">
        <v>9.1300000000000008</v>
      </c>
      <c r="M47" s="1394"/>
      <c r="N47" s="1326"/>
      <c r="O47" s="1326"/>
      <c r="P47" s="1326"/>
      <c r="Q47" s="1362"/>
      <c r="R47" s="1326"/>
      <c r="S47" s="1326"/>
      <c r="T47" s="1326"/>
      <c r="U47" s="1326"/>
      <c r="V47" s="1362"/>
      <c r="W47" s="1326"/>
      <c r="X47" s="1326"/>
      <c r="Y47" s="1326"/>
      <c r="Z47" s="1362"/>
      <c r="AA47" s="1362"/>
      <c r="AB47" s="1397"/>
      <c r="AC47" s="1378"/>
      <c r="AI47" s="308"/>
    </row>
    <row r="48" spans="1:35" ht="15.75" hidden="1" x14ac:dyDescent="0.25">
      <c r="A48" s="1346"/>
      <c r="B48" s="886" t="e">
        <f>VLOOKUP(A48,A.P.U!C:F,2,0)</f>
        <v>#N/A</v>
      </c>
      <c r="C48" s="887"/>
      <c r="D48" s="1084"/>
      <c r="E48" s="1149"/>
      <c r="F48" s="888"/>
      <c r="G48" s="888"/>
      <c r="H48" s="1331"/>
      <c r="I48" s="1330">
        <f t="shared" si="12"/>
        <v>0</v>
      </c>
      <c r="J48" s="1330">
        <v>0</v>
      </c>
      <c r="K48" s="1330">
        <f t="shared" si="10"/>
        <v>0</v>
      </c>
      <c r="L48" s="1360"/>
      <c r="M48" s="1394"/>
      <c r="N48" s="1326"/>
      <c r="O48" s="1326"/>
      <c r="P48" s="1326"/>
      <c r="Q48" s="1326"/>
      <c r="R48" s="1326"/>
      <c r="S48" s="1326"/>
      <c r="T48" s="1326"/>
      <c r="U48" s="1326"/>
      <c r="V48" s="1326"/>
      <c r="W48" s="1326"/>
      <c r="X48" s="1326"/>
      <c r="Y48" s="1326"/>
      <c r="Z48" s="1326"/>
      <c r="AA48" s="1326"/>
      <c r="AB48" s="1360"/>
      <c r="AC48" s="1378"/>
      <c r="AI48" s="308"/>
    </row>
    <row r="49" spans="1:35" ht="15.75" x14ac:dyDescent="0.25">
      <c r="A49" s="1346" t="s">
        <v>2421</v>
      </c>
      <c r="B49" s="886" t="str">
        <f>VLOOKUP(A49,A.P.U!C:F,2,0)</f>
        <v>Adecuacion de andenes y Rampas</v>
      </c>
      <c r="C49" s="887" t="str">
        <f>VLOOKUP(A49,A.P.U!C:F,3,0)</f>
        <v>M2</v>
      </c>
      <c r="D49" s="1085">
        <f>D37</f>
        <v>280</v>
      </c>
      <c r="E49" s="890">
        <f>VLOOKUP(A49,A.P.U!$C:$K,6,0)+VLOOKUP(A49,A.P.U!$C:$K,8,0)+VLOOKUP(A49,A.P.U!$C:$K,9,0)</f>
        <v>20854.6796875</v>
      </c>
      <c r="F49" s="890">
        <f>VLOOKUP(A49,A.P.U!$C:$K,7,0)</f>
        <v>15220.1</v>
      </c>
      <c r="G49" s="1059">
        <f>ROUND(VLOOKUP(A49,A.P.U!C:F,4,0),0)</f>
        <v>36075</v>
      </c>
      <c r="H49" s="1331">
        <f>(D49*G49)</f>
        <v>10101000</v>
      </c>
      <c r="I49" s="1330">
        <f>(D49*G49)</f>
        <v>10101000</v>
      </c>
      <c r="J49" s="1330">
        <v>0</v>
      </c>
      <c r="K49" s="1330">
        <f>+H49-I49</f>
        <v>0</v>
      </c>
      <c r="L49" s="1360">
        <v>9.15</v>
      </c>
      <c r="M49" s="1394"/>
      <c r="N49" s="1326"/>
      <c r="O49" s="1326"/>
      <c r="P49" s="1326"/>
      <c r="Q49" s="1362"/>
      <c r="R49" s="1326"/>
      <c r="S49" s="1326"/>
      <c r="T49" s="1326"/>
      <c r="U49" s="1326"/>
      <c r="V49" s="1362"/>
      <c r="W49" s="1326"/>
      <c r="X49" s="1326"/>
      <c r="Y49" s="1326"/>
      <c r="Z49" s="1362"/>
      <c r="AA49" s="1362"/>
      <c r="AB49" s="1397"/>
      <c r="AC49" s="1378"/>
      <c r="AI49" s="308"/>
    </row>
    <row r="50" spans="1:35" ht="37.5" customHeight="1" x14ac:dyDescent="0.2">
      <c r="A50" s="1346">
        <v>11.6</v>
      </c>
      <c r="B50" s="886" t="str">
        <f>VLOOKUP(A50,A.P.U!C:F,2,0)</f>
        <v>Suministro, Transporte e Instalación Caja para aliviadero en concreto reforzado de 21 Mpa (3.35m x1.6 m *2.15m y un espesor de 0.15m para muros y losa)</v>
      </c>
      <c r="C50" s="887" t="str">
        <f>VLOOKUP(A50,A.P.U!C:F,3,0)</f>
        <v>Un</v>
      </c>
      <c r="D50" s="1131">
        <v>1</v>
      </c>
      <c r="E50" s="890">
        <f>VLOOKUP(A50,A.P.U!$C:$K,6,0)+VLOOKUP(A50,A.P.U!$C:$K,8,0)+VLOOKUP(A50,A.P.U!$C:$K,9,0)</f>
        <v>6121827.1798479995</v>
      </c>
      <c r="F50" s="890">
        <f>VLOOKUP(A50,A.P.U!$C:$K,7,0)</f>
        <v>3368101.6031250004</v>
      </c>
      <c r="G50" s="1059">
        <f>ROUND(VLOOKUP(A50,A.P.U!C:F,4,0),0)</f>
        <v>9489929</v>
      </c>
      <c r="H50" s="1327">
        <f>(D50*G50)</f>
        <v>9489929</v>
      </c>
      <c r="I50" s="338"/>
      <c r="J50" s="338"/>
      <c r="K50" s="338"/>
      <c r="L50" s="1360">
        <v>10.3</v>
      </c>
      <c r="M50" s="1394"/>
      <c r="N50" s="1326"/>
      <c r="O50" s="1326"/>
      <c r="P50" s="1326"/>
      <c r="Q50" s="1326"/>
      <c r="R50" s="1326"/>
      <c r="S50" s="1326"/>
      <c r="T50" s="1326"/>
      <c r="U50" s="1326"/>
      <c r="V50" s="1362"/>
      <c r="W50" s="1362"/>
      <c r="X50" s="1362"/>
      <c r="Y50" s="1326"/>
      <c r="Z50" s="1326"/>
      <c r="AA50" s="1326"/>
      <c r="AB50" s="1360"/>
      <c r="AC50" s="1378"/>
    </row>
    <row r="51" spans="1:35" ht="15.75" x14ac:dyDescent="0.2">
      <c r="A51" s="1348"/>
      <c r="B51" s="1671" t="s">
        <v>2720</v>
      </c>
      <c r="C51" s="1671"/>
      <c r="D51" s="1671"/>
      <c r="E51" s="1671"/>
      <c r="F51" s="1671"/>
      <c r="G51" s="1671"/>
      <c r="H51" s="1671"/>
      <c r="I51" s="1330">
        <f t="shared" si="12"/>
        <v>0</v>
      </c>
      <c r="J51" s="1330">
        <f t="shared" si="9"/>
        <v>0</v>
      </c>
      <c r="K51" s="1330">
        <f t="shared" si="10"/>
        <v>0</v>
      </c>
      <c r="L51" s="1349"/>
      <c r="M51" s="1389"/>
      <c r="N51" s="1367"/>
      <c r="O51" s="1367"/>
      <c r="P51" s="1367"/>
      <c r="Q51" s="1367"/>
      <c r="R51" s="1367"/>
      <c r="S51" s="1367"/>
      <c r="T51" s="1367"/>
      <c r="U51" s="1367"/>
      <c r="V51" s="1367"/>
      <c r="W51" s="1367"/>
      <c r="X51" s="1367"/>
      <c r="Y51" s="1367"/>
      <c r="Z51" s="1367"/>
      <c r="AA51" s="1367"/>
      <c r="AB51" s="1349"/>
      <c r="AC51" s="1373"/>
      <c r="AI51" s="308"/>
    </row>
    <row r="52" spans="1:35" ht="16.5" thickBot="1" x14ac:dyDescent="0.3">
      <c r="A52" s="1346">
        <v>13</v>
      </c>
      <c r="B52" s="886" t="str">
        <f>VLOOKUP(A52,A.P.U!C:F,2,0)</f>
        <v xml:space="preserve">Acero de Refuerzo 60,000 PSI </v>
      </c>
      <c r="C52" s="887" t="s">
        <v>2253</v>
      </c>
      <c r="D52" s="1085">
        <f>'Cantidades de obra'!N94</f>
        <v>1124.55</v>
      </c>
      <c r="E52" s="890">
        <f>VLOOKUP(A52,A.P.U!$C:$K,6,0)+VLOOKUP(A52,A.P.U!$C:$K,8,0)+VLOOKUP(A52,A.P.U!$C:$K,9,0)</f>
        <v>402.98906249999999</v>
      </c>
      <c r="F52" s="890">
        <f>VLOOKUP(A52,A.P.U!$C:$K,7,0)</f>
        <v>2884</v>
      </c>
      <c r="G52" s="1059">
        <f>ROUND(VLOOKUP(A52,A.P.U!C:F,4,0),0)</f>
        <v>3287</v>
      </c>
      <c r="H52" s="1331">
        <f t="shared" si="11"/>
        <v>3696395.8499999996</v>
      </c>
      <c r="I52" s="1330">
        <f t="shared" si="12"/>
        <v>3696395.8499999996</v>
      </c>
      <c r="J52" s="1330">
        <v>0</v>
      </c>
      <c r="K52" s="1330">
        <f t="shared" si="10"/>
        <v>0</v>
      </c>
      <c r="L52" s="1351">
        <v>11</v>
      </c>
      <c r="M52" s="1394"/>
      <c r="N52" s="1326"/>
      <c r="O52" s="1326"/>
      <c r="P52" s="1365"/>
      <c r="Q52" s="1365"/>
      <c r="R52" s="1326"/>
      <c r="S52" s="1326"/>
      <c r="T52" s="1326"/>
      <c r="U52" s="1365"/>
      <c r="V52" s="1365"/>
      <c r="W52" s="1362"/>
      <c r="X52" s="1326"/>
      <c r="Y52" s="1326"/>
      <c r="Z52" s="1365"/>
      <c r="AA52" s="1365"/>
      <c r="AB52" s="1396"/>
      <c r="AC52" s="1373"/>
      <c r="AI52" s="308"/>
    </row>
    <row r="53" spans="1:35" ht="15.75" x14ac:dyDescent="0.25">
      <c r="A53" s="1346"/>
      <c r="B53" s="886"/>
      <c r="C53" s="887"/>
      <c r="D53" s="1084"/>
      <c r="E53" s="890"/>
      <c r="F53" s="890"/>
      <c r="G53" s="890"/>
      <c r="H53" s="1335">
        <f>SUM(H6:H52)</f>
        <v>786762093.91570008</v>
      </c>
      <c r="I53" s="314">
        <f>SUM(I6:I52)</f>
        <v>501244760.87286198</v>
      </c>
      <c r="J53" s="314">
        <f>SUM(J6:J52)</f>
        <v>141307932.10797226</v>
      </c>
      <c r="K53" s="1336">
        <f>+I53+J53</f>
        <v>642552692.98083425</v>
      </c>
      <c r="L53" s="1353"/>
      <c r="M53" s="1394"/>
      <c r="N53" s="1326"/>
      <c r="O53" s="1326"/>
      <c r="P53" s="1326"/>
      <c r="Q53" s="1326"/>
      <c r="R53" s="1326"/>
      <c r="S53" s="1326"/>
      <c r="T53" s="1326"/>
      <c r="U53" s="1326"/>
      <c r="V53" s="1326"/>
      <c r="W53" s="1326"/>
      <c r="X53" s="1326"/>
      <c r="Y53" s="1326"/>
      <c r="Z53" s="1326"/>
      <c r="AA53" s="1326"/>
      <c r="AB53" s="1359"/>
      <c r="AC53" s="1399" t="s">
        <v>2631</v>
      </c>
      <c r="AD53" s="1400"/>
      <c r="AI53" s="309"/>
    </row>
    <row r="54" spans="1:35" ht="15.75" x14ac:dyDescent="0.25">
      <c r="A54" s="1346"/>
      <c r="B54" s="1661" t="s">
        <v>2630</v>
      </c>
      <c r="C54" s="1661"/>
      <c r="D54" s="1080"/>
      <c r="E54" s="1146"/>
      <c r="F54" s="892"/>
      <c r="G54" s="1137"/>
      <c r="H54" s="1337">
        <f>H53</f>
        <v>786762093.91570008</v>
      </c>
      <c r="I54" s="1338" t="e">
        <f>+#REF!</f>
        <v>#REF!</v>
      </c>
      <c r="J54" s="1338" t="e">
        <f>#REF!+K54</f>
        <v>#REF!</v>
      </c>
      <c r="K54" s="1339"/>
      <c r="L54" s="1383"/>
      <c r="M54" s="1401">
        <v>1.8100000000000002E-2</v>
      </c>
      <c r="N54" s="1402">
        <v>1.8100000000000002E-2</v>
      </c>
      <c r="O54" s="1402">
        <v>7.2300000000000003E-2</v>
      </c>
      <c r="P54" s="1402">
        <v>8.43E-2</v>
      </c>
      <c r="Q54" s="1402">
        <v>6.6299999999999998E-2</v>
      </c>
      <c r="R54" s="1402">
        <v>6.6299999999999998E-2</v>
      </c>
      <c r="S54" s="1402">
        <v>7.2300000000000003E-2</v>
      </c>
      <c r="T54" s="1402">
        <v>3.61E-2</v>
      </c>
      <c r="U54" s="1402">
        <v>5.4199999999999998E-2</v>
      </c>
      <c r="V54" s="1402">
        <v>0.1265</v>
      </c>
      <c r="W54" s="1402">
        <v>4.2200000000000001E-2</v>
      </c>
      <c r="X54" s="1402">
        <v>6.6299999999999998E-2</v>
      </c>
      <c r="Y54" s="1402">
        <v>4.82E-2</v>
      </c>
      <c r="Z54" s="1402">
        <v>6.0199999999999997E-2</v>
      </c>
      <c r="AA54" s="1402">
        <v>0.1084</v>
      </c>
      <c r="AB54" s="1403">
        <v>6.0199999999999997E-2</v>
      </c>
      <c r="AC54" s="1404"/>
      <c r="AD54" s="1405"/>
      <c r="AG54" s="308"/>
      <c r="AH54" s="308"/>
    </row>
    <row r="55" spans="1:35" ht="15.75" x14ac:dyDescent="0.25">
      <c r="A55" s="1346"/>
      <c r="B55" s="886"/>
      <c r="C55" s="887"/>
      <c r="D55" s="1084"/>
      <c r="E55" s="1151"/>
      <c r="F55" s="891"/>
      <c r="G55" s="888"/>
      <c r="H55" s="1337"/>
      <c r="I55" s="338"/>
      <c r="J55" s="338"/>
      <c r="K55" s="338"/>
      <c r="L55" s="1383"/>
      <c r="M55" s="1406" t="e">
        <f>ROUND($H$60*M54,0)</f>
        <v>#DIV/0!</v>
      </c>
      <c r="N55" s="895" t="e">
        <f t="shared" ref="N55:AB55" si="13">ROUND($H$60*N54,0)</f>
        <v>#DIV/0!</v>
      </c>
      <c r="O55" s="895" t="e">
        <f t="shared" si="13"/>
        <v>#DIV/0!</v>
      </c>
      <c r="P55" s="895" t="e">
        <f t="shared" si="13"/>
        <v>#DIV/0!</v>
      </c>
      <c r="Q55" s="895" t="e">
        <f t="shared" si="13"/>
        <v>#DIV/0!</v>
      </c>
      <c r="R55" s="895" t="e">
        <f t="shared" si="13"/>
        <v>#DIV/0!</v>
      </c>
      <c r="S55" s="895" t="e">
        <f t="shared" si="13"/>
        <v>#DIV/0!</v>
      </c>
      <c r="T55" s="895" t="e">
        <f t="shared" si="13"/>
        <v>#DIV/0!</v>
      </c>
      <c r="U55" s="895" t="e">
        <f t="shared" si="13"/>
        <v>#DIV/0!</v>
      </c>
      <c r="V55" s="895" t="e">
        <f t="shared" si="13"/>
        <v>#DIV/0!</v>
      </c>
      <c r="W55" s="895" t="e">
        <f t="shared" si="13"/>
        <v>#DIV/0!</v>
      </c>
      <c r="X55" s="895" t="e">
        <f t="shared" si="13"/>
        <v>#DIV/0!</v>
      </c>
      <c r="Y55" s="895" t="e">
        <f t="shared" si="13"/>
        <v>#DIV/0!</v>
      </c>
      <c r="Z55" s="895" t="e">
        <f t="shared" si="13"/>
        <v>#DIV/0!</v>
      </c>
      <c r="AA55" s="895" t="e">
        <f t="shared" si="13"/>
        <v>#DIV/0!</v>
      </c>
      <c r="AB55" s="1407" t="e">
        <f t="shared" si="13"/>
        <v>#DIV/0!</v>
      </c>
      <c r="AC55" s="1406" t="e">
        <f>+SUM(M55:AB55)</f>
        <v>#DIV/0!</v>
      </c>
      <c r="AD55" s="1408" t="s">
        <v>2942</v>
      </c>
      <c r="AG55" s="310"/>
    </row>
    <row r="56" spans="1:35" ht="15.75" x14ac:dyDescent="0.25">
      <c r="A56" s="1346"/>
      <c r="B56" s="893" t="s">
        <v>2775</v>
      </c>
      <c r="C56" s="894" t="e">
        <f>+' AIU OBRA CIVIL'!G48</f>
        <v>#DIV/0!</v>
      </c>
      <c r="D56" s="1084"/>
      <c r="E56" s="1151"/>
      <c r="F56" s="891"/>
      <c r="G56" s="888"/>
      <c r="H56" s="1337" t="e">
        <f>ROUND(+H54*C56,0)</f>
        <v>#DIV/0!</v>
      </c>
      <c r="I56" s="1340" t="e">
        <f>+$I$54*C56</f>
        <v>#REF!</v>
      </c>
      <c r="J56" s="1340" t="e">
        <f>+$J$54*C56</f>
        <v>#REF!</v>
      </c>
      <c r="K56" s="338"/>
      <c r="L56" s="1383"/>
      <c r="M56" s="1409"/>
      <c r="N56" s="891"/>
      <c r="O56" s="891"/>
      <c r="P56" s="891"/>
      <c r="Q56" s="891"/>
      <c r="R56" s="891"/>
      <c r="S56" s="891"/>
      <c r="T56" s="891"/>
      <c r="U56" s="891"/>
      <c r="V56" s="891"/>
      <c r="W56" s="891"/>
      <c r="X56" s="891"/>
      <c r="Y56" s="891"/>
      <c r="Z56" s="891"/>
      <c r="AA56" s="891"/>
      <c r="AB56" s="1410">
        <f>+H61</f>
        <v>121178887</v>
      </c>
      <c r="AC56" s="1406">
        <f t="shared" ref="AC56:AC57" si="14">+SUM(M56:AB56)</f>
        <v>121178887</v>
      </c>
      <c r="AD56" s="1408" t="s">
        <v>2943</v>
      </c>
      <c r="AG56" s="309"/>
    </row>
    <row r="57" spans="1:35" ht="15.75" x14ac:dyDescent="0.25">
      <c r="A57" s="1346"/>
      <c r="B57" s="893" t="s">
        <v>2776</v>
      </c>
      <c r="C57" s="1144">
        <f>' AIU OBRA CIVIL'!G49</f>
        <v>0.02</v>
      </c>
      <c r="D57" s="1084"/>
      <c r="E57" s="1151"/>
      <c r="F57" s="895"/>
      <c r="G57" s="888"/>
      <c r="H57" s="1337">
        <f>ROUND(+H54*C57,0)</f>
        <v>15735242</v>
      </c>
      <c r="I57" s="1340" t="e">
        <f t="shared" ref="I57:I58" si="15">+$I$54*C57</f>
        <v>#REF!</v>
      </c>
      <c r="J57" s="1340" t="e">
        <f t="shared" ref="J57:J58" si="16">+$J$54*C57</f>
        <v>#REF!</v>
      </c>
      <c r="K57" s="338"/>
      <c r="L57" s="1383"/>
      <c r="M57" s="1409"/>
      <c r="N57" s="891"/>
      <c r="O57" s="891"/>
      <c r="P57" s="891"/>
      <c r="Q57" s="891"/>
      <c r="R57" s="891"/>
      <c r="S57" s="891"/>
      <c r="T57" s="891"/>
      <c r="U57" s="891"/>
      <c r="V57" s="891"/>
      <c r="W57" s="891"/>
      <c r="X57" s="891"/>
      <c r="Y57" s="891"/>
      <c r="Z57" s="891"/>
      <c r="AA57" s="891"/>
      <c r="AB57" s="1410">
        <f>+H62</f>
        <v>26441436</v>
      </c>
      <c r="AC57" s="1406">
        <f t="shared" si="14"/>
        <v>26441436</v>
      </c>
      <c r="AD57" s="1408" t="s">
        <v>2944</v>
      </c>
      <c r="AG57" s="309"/>
    </row>
    <row r="58" spans="1:35" ht="16.5" thickBot="1" x14ac:dyDescent="0.3">
      <c r="A58" s="1346"/>
      <c r="B58" s="893" t="s">
        <v>2777</v>
      </c>
      <c r="C58" s="1144">
        <f>' AIU OBRA CIVIL'!G50</f>
        <v>0.05</v>
      </c>
      <c r="D58" s="1084"/>
      <c r="E58" s="1151"/>
      <c r="F58" s="896"/>
      <c r="G58" s="888"/>
      <c r="H58" s="1337">
        <f>ROUND(+H54*C58,0)</f>
        <v>39338105</v>
      </c>
      <c r="I58" s="1340" t="e">
        <f t="shared" si="15"/>
        <v>#REF!</v>
      </c>
      <c r="J58" s="1340" t="e">
        <f t="shared" si="16"/>
        <v>#REF!</v>
      </c>
      <c r="K58" s="338"/>
      <c r="L58" s="1382"/>
      <c r="M58" s="1411" t="e">
        <f>SUM(M55:M57)</f>
        <v>#DIV/0!</v>
      </c>
      <c r="N58" s="1412" t="e">
        <f t="shared" ref="N58:AA58" si="17">SUM(N55:N57)</f>
        <v>#DIV/0!</v>
      </c>
      <c r="O58" s="1412" t="e">
        <f t="shared" si="17"/>
        <v>#DIV/0!</v>
      </c>
      <c r="P58" s="1412" t="e">
        <f t="shared" si="17"/>
        <v>#DIV/0!</v>
      </c>
      <c r="Q58" s="1412" t="e">
        <f t="shared" si="17"/>
        <v>#DIV/0!</v>
      </c>
      <c r="R58" s="1412" t="e">
        <f t="shared" si="17"/>
        <v>#DIV/0!</v>
      </c>
      <c r="S58" s="1412" t="e">
        <f t="shared" si="17"/>
        <v>#DIV/0!</v>
      </c>
      <c r="T58" s="1412" t="e">
        <f t="shared" si="17"/>
        <v>#DIV/0!</v>
      </c>
      <c r="U58" s="1412" t="e">
        <f t="shared" si="17"/>
        <v>#DIV/0!</v>
      </c>
      <c r="V58" s="1412" t="e">
        <f t="shared" si="17"/>
        <v>#DIV/0!</v>
      </c>
      <c r="W58" s="1412" t="e">
        <f t="shared" si="17"/>
        <v>#DIV/0!</v>
      </c>
      <c r="X58" s="1412" t="e">
        <f t="shared" si="17"/>
        <v>#DIV/0!</v>
      </c>
      <c r="Y58" s="1412" t="e">
        <f t="shared" si="17"/>
        <v>#DIV/0!</v>
      </c>
      <c r="Z58" s="1412" t="e">
        <f t="shared" si="17"/>
        <v>#DIV/0!</v>
      </c>
      <c r="AA58" s="1412" t="e">
        <f t="shared" si="17"/>
        <v>#DIV/0!</v>
      </c>
      <c r="AB58" s="1413" t="e">
        <f>SUM(AB55:AB57)</f>
        <v>#DIV/0!</v>
      </c>
      <c r="AC58" s="1411">
        <v>1137378795</v>
      </c>
      <c r="AD58" s="1414" t="s">
        <v>2328</v>
      </c>
      <c r="AG58" s="311"/>
    </row>
    <row r="59" spans="1:35" ht="15.75" x14ac:dyDescent="0.25">
      <c r="A59" s="1346"/>
      <c r="B59" s="893" t="s">
        <v>2722</v>
      </c>
      <c r="C59" s="1144"/>
      <c r="D59" s="1086"/>
      <c r="E59" s="1152"/>
      <c r="F59" s="1058"/>
      <c r="G59" s="888"/>
      <c r="H59" s="1337">
        <f>ROUND(H58*0.16,0)</f>
        <v>6294097</v>
      </c>
      <c r="I59" s="1340"/>
      <c r="J59" s="1340"/>
      <c r="K59" s="338"/>
      <c r="L59" s="1383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G59" s="311"/>
    </row>
    <row r="60" spans="1:35" ht="15.75" x14ac:dyDescent="0.25">
      <c r="A60" s="1346"/>
      <c r="B60" s="893" t="s">
        <v>2631</v>
      </c>
      <c r="C60" s="894"/>
      <c r="D60" s="1084"/>
      <c r="E60" s="1151"/>
      <c r="F60" s="891"/>
      <c r="G60" s="888"/>
      <c r="H60" s="1337" t="e">
        <f>SUM(H54:H59)</f>
        <v>#DIV/0!</v>
      </c>
      <c r="I60" s="1340"/>
      <c r="J60" s="1340"/>
      <c r="K60" s="338"/>
      <c r="L60" s="1383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H60" s="312"/>
    </row>
    <row r="61" spans="1:35" ht="15.75" x14ac:dyDescent="0.25">
      <c r="A61" s="1346"/>
      <c r="B61" s="893" t="s">
        <v>2865</v>
      </c>
      <c r="C61" s="897"/>
      <c r="D61" s="1084"/>
      <c r="E61" s="1151"/>
      <c r="F61" s="891"/>
      <c r="G61" s="888"/>
      <c r="H61" s="1331">
        <v>121178887</v>
      </c>
      <c r="I61" s="1341" t="s">
        <v>2132</v>
      </c>
      <c r="J61" s="314" t="s">
        <v>2133</v>
      </c>
      <c r="K61" s="1330"/>
      <c r="L61" s="1384"/>
      <c r="M61" s="1379"/>
      <c r="N61" s="1379"/>
      <c r="O61" s="1379"/>
      <c r="P61" s="1379"/>
      <c r="Q61" s="1379"/>
      <c r="R61" s="1379"/>
      <c r="S61" s="1379"/>
      <c r="T61" s="1379"/>
      <c r="U61" s="1379"/>
      <c r="V61" s="1379"/>
      <c r="W61" s="1379"/>
      <c r="X61" s="1379"/>
      <c r="Y61" s="1379"/>
      <c r="Z61" s="1379"/>
      <c r="AA61" s="1379"/>
      <c r="AB61" s="1379"/>
      <c r="AC61" s="1379"/>
      <c r="AG61" s="308"/>
    </row>
    <row r="62" spans="1:35" ht="15.75" x14ac:dyDescent="0.25">
      <c r="A62" s="1346"/>
      <c r="B62" s="893" t="s">
        <v>2863</v>
      </c>
      <c r="C62" s="897"/>
      <c r="D62" s="1084"/>
      <c r="E62" s="1151"/>
      <c r="F62" s="891"/>
      <c r="G62" s="888"/>
      <c r="H62" s="1331">
        <v>26441436</v>
      </c>
      <c r="I62" s="1342" t="s">
        <v>2685</v>
      </c>
      <c r="J62" s="314">
        <f>+D6</f>
        <v>909.5</v>
      </c>
      <c r="K62" s="338">
        <v>810.5</v>
      </c>
      <c r="L62" s="1383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G62" s="308"/>
    </row>
    <row r="63" spans="1:35" ht="16.5" thickBot="1" x14ac:dyDescent="0.3">
      <c r="A63" s="1354"/>
      <c r="B63" s="1662" t="s">
        <v>2087</v>
      </c>
      <c r="C63" s="1662"/>
      <c r="D63" s="1662"/>
      <c r="E63" s="1662"/>
      <c r="F63" s="1662"/>
      <c r="G63" s="1662"/>
      <c r="H63" s="1355" t="e">
        <f>+H60+H61+H62</f>
        <v>#DIV/0!</v>
      </c>
      <c r="I63" s="1356" t="e">
        <f>+#REF!/D6</f>
        <v>#REF!</v>
      </c>
      <c r="J63" s="1356" t="e">
        <f>+#REF!/D6</f>
        <v>#REF!</v>
      </c>
      <c r="K63" s="1357" t="e">
        <f>(J63+I63)/1000</f>
        <v>#REF!</v>
      </c>
      <c r="L63" s="1385"/>
      <c r="M63" s="350"/>
      <c r="N63" s="350"/>
      <c r="O63" s="350"/>
      <c r="P63" s="350"/>
      <c r="Q63" s="350"/>
      <c r="R63" s="350"/>
      <c r="S63" s="350"/>
      <c r="T63" s="350"/>
      <c r="U63" s="350"/>
      <c r="V63" s="350"/>
      <c r="W63" s="350"/>
      <c r="X63" s="350"/>
      <c r="Y63" s="350"/>
      <c r="Z63" s="350"/>
      <c r="AA63" s="350"/>
      <c r="AB63" s="350"/>
      <c r="AC63" s="350"/>
      <c r="AH63" s="308"/>
    </row>
    <row r="64" spans="1:35" x14ac:dyDescent="0.2">
      <c r="B64" s="151"/>
      <c r="C64" s="152"/>
      <c r="H64" s="340"/>
      <c r="I64" s="131" t="s">
        <v>2134</v>
      </c>
      <c r="J64" s="308"/>
    </row>
    <row r="65" spans="2:33" x14ac:dyDescent="0.2">
      <c r="B65" s="151"/>
      <c r="C65" s="152"/>
      <c r="H65" s="340">
        <v>1137378795</v>
      </c>
      <c r="AG65" s="311"/>
    </row>
    <row r="66" spans="2:33" x14ac:dyDescent="0.2">
      <c r="B66" s="151"/>
      <c r="C66" s="152"/>
      <c r="H66" s="340"/>
      <c r="I66" s="328" t="e">
        <f>+J63*0.7</f>
        <v>#REF!</v>
      </c>
      <c r="J66" s="308" t="s">
        <v>2135</v>
      </c>
      <c r="K66" s="131">
        <v>334506.495632042</v>
      </c>
      <c r="L66" s="1158"/>
      <c r="M66" s="1158"/>
      <c r="N66" s="1158"/>
      <c r="O66" s="1158"/>
      <c r="P66" s="1158"/>
      <c r="Q66" s="1158"/>
      <c r="R66" s="1158"/>
      <c r="S66" s="1158"/>
      <c r="T66" s="1158"/>
      <c r="U66" s="1158"/>
      <c r="V66" s="1158"/>
      <c r="W66" s="1158"/>
      <c r="X66" s="1158"/>
      <c r="Y66" s="1158"/>
      <c r="Z66" s="1158"/>
      <c r="AA66" s="1158"/>
      <c r="AB66" s="1158"/>
      <c r="AC66" s="1380"/>
    </row>
    <row r="67" spans="2:33" x14ac:dyDescent="0.2">
      <c r="B67" s="151"/>
      <c r="C67" s="152"/>
      <c r="H67" s="340" t="e">
        <f>H65-H63</f>
        <v>#DIV/0!</v>
      </c>
      <c r="I67" s="328" t="e">
        <f>+J63*0.3</f>
        <v>#REF!</v>
      </c>
      <c r="J67" s="131" t="s">
        <v>2136</v>
      </c>
      <c r="K67" s="131">
        <v>143359.9266994466</v>
      </c>
    </row>
    <row r="68" spans="2:33" x14ac:dyDescent="0.2">
      <c r="B68" s="151"/>
      <c r="C68" s="152"/>
      <c r="H68" s="340"/>
      <c r="AG68" s="309"/>
    </row>
    <row r="69" spans="2:33" x14ac:dyDescent="0.2">
      <c r="B69" s="151"/>
      <c r="C69" s="152"/>
      <c r="E69" s="1154"/>
      <c r="H69" s="340"/>
      <c r="AG69" s="309"/>
    </row>
    <row r="70" spans="2:33" x14ac:dyDescent="0.2">
      <c r="B70" s="151"/>
      <c r="C70" s="152"/>
      <c r="H70" s="340"/>
    </row>
    <row r="71" spans="2:33" x14ac:dyDescent="0.2">
      <c r="B71" s="151"/>
      <c r="C71" s="323"/>
      <c r="D71" s="1088"/>
      <c r="E71" s="1155"/>
      <c r="H71" s="340"/>
    </row>
    <row r="72" spans="2:33" x14ac:dyDescent="0.2">
      <c r="B72" s="151"/>
      <c r="C72" s="323"/>
      <c r="D72" s="1089"/>
      <c r="E72" s="1155"/>
      <c r="H72" s="340"/>
      <c r="I72" s="154"/>
      <c r="J72" s="154"/>
      <c r="K72" s="154"/>
    </row>
    <row r="73" spans="2:33" ht="15.75" x14ac:dyDescent="0.25">
      <c r="B73" s="151"/>
      <c r="C73" s="324"/>
      <c r="D73" s="1089"/>
      <c r="E73" s="1156"/>
      <c r="H73" s="340"/>
      <c r="I73" s="153">
        <v>618221449.03474104</v>
      </c>
      <c r="J73" s="131">
        <v>290742834.06004101</v>
      </c>
    </row>
    <row r="74" spans="2:33" x14ac:dyDescent="0.2">
      <c r="B74" s="151"/>
      <c r="C74" s="325"/>
      <c r="D74" s="1090"/>
      <c r="E74" s="1155"/>
      <c r="H74" s="340"/>
      <c r="I74" s="315"/>
      <c r="J74" s="315"/>
      <c r="K74" s="315"/>
    </row>
    <row r="75" spans="2:33" x14ac:dyDescent="0.2">
      <c r="B75" s="151"/>
      <c r="C75" s="325"/>
      <c r="D75" s="1090"/>
      <c r="E75" s="1155"/>
      <c r="H75" s="340"/>
      <c r="I75" s="339"/>
      <c r="J75" s="340"/>
    </row>
    <row r="76" spans="2:33" x14ac:dyDescent="0.2">
      <c r="B76" s="151"/>
      <c r="C76" s="326"/>
      <c r="D76" s="1091"/>
      <c r="E76" s="1155"/>
      <c r="H76" s="340"/>
      <c r="J76" s="153"/>
    </row>
    <row r="77" spans="2:33" x14ac:dyDescent="0.2">
      <c r="B77" s="151"/>
      <c r="C77" s="325"/>
      <c r="D77" s="1091"/>
      <c r="E77" s="1155"/>
      <c r="H77" s="1139"/>
      <c r="I77" s="316"/>
      <c r="J77" s="316"/>
      <c r="K77" s="316"/>
      <c r="L77" s="1159"/>
      <c r="M77" s="1159"/>
      <c r="N77" s="1159"/>
      <c r="O77" s="1159"/>
      <c r="P77" s="1159"/>
      <c r="Q77" s="1159"/>
      <c r="R77" s="1159"/>
      <c r="S77" s="1159"/>
      <c r="T77" s="1159"/>
      <c r="U77" s="1159"/>
      <c r="V77" s="1159"/>
      <c r="W77" s="1159"/>
      <c r="X77" s="1159"/>
      <c r="Y77" s="1159"/>
      <c r="Z77" s="1159"/>
      <c r="AA77" s="1159"/>
      <c r="AB77" s="1159"/>
      <c r="AC77" s="1381"/>
    </row>
    <row r="78" spans="2:33" x14ac:dyDescent="0.2">
      <c r="B78" s="151"/>
      <c r="C78" s="322"/>
      <c r="D78" s="1091"/>
      <c r="E78" s="1155"/>
      <c r="H78" s="340"/>
      <c r="I78" s="317"/>
      <c r="J78" s="317"/>
      <c r="K78" s="317"/>
      <c r="L78" s="1159"/>
      <c r="M78" s="1159"/>
      <c r="N78" s="1159"/>
      <c r="O78" s="1159"/>
      <c r="P78" s="1159"/>
      <c r="Q78" s="1159"/>
      <c r="R78" s="1159"/>
      <c r="S78" s="1159"/>
      <c r="T78" s="1159"/>
      <c r="U78" s="1159"/>
      <c r="V78" s="1159"/>
      <c r="W78" s="1159"/>
      <c r="X78" s="1159"/>
      <c r="Y78" s="1159"/>
      <c r="Z78" s="1159"/>
      <c r="AA78" s="1159"/>
      <c r="AB78" s="1159"/>
      <c r="AC78" s="1381"/>
    </row>
    <row r="79" spans="2:33" x14ac:dyDescent="0.2">
      <c r="B79" s="151"/>
      <c r="C79" s="327"/>
      <c r="D79" s="1091"/>
      <c r="E79" s="1155"/>
      <c r="H79" s="340"/>
      <c r="L79" s="1158"/>
      <c r="M79" s="1158"/>
      <c r="N79" s="1158"/>
      <c r="O79" s="1158"/>
      <c r="P79" s="1158"/>
      <c r="Q79" s="1158"/>
      <c r="R79" s="1158"/>
      <c r="S79" s="1158"/>
      <c r="T79" s="1158"/>
      <c r="U79" s="1158"/>
      <c r="V79" s="1158"/>
      <c r="W79" s="1158"/>
      <c r="X79" s="1158"/>
      <c r="Y79" s="1158"/>
      <c r="Z79" s="1158"/>
      <c r="AA79" s="1158"/>
      <c r="AB79" s="1158"/>
      <c r="AC79" s="1380"/>
    </row>
    <row r="80" spans="2:33" x14ac:dyDescent="0.2">
      <c r="B80" s="151"/>
      <c r="C80" s="322"/>
      <c r="D80" s="1091"/>
      <c r="E80" s="1155"/>
      <c r="H80" s="340"/>
    </row>
    <row r="81" spans="2:29" x14ac:dyDescent="0.2">
      <c r="B81" s="151"/>
      <c r="C81" s="322"/>
      <c r="D81" s="1091"/>
      <c r="E81" s="1155"/>
      <c r="H81" s="340"/>
    </row>
    <row r="82" spans="2:29" x14ac:dyDescent="0.2">
      <c r="B82" s="151"/>
      <c r="C82" s="322"/>
      <c r="D82" s="1091"/>
      <c r="E82" s="1155"/>
      <c r="H82" s="340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31"/>
      <c r="X82" s="131"/>
      <c r="Y82" s="131"/>
      <c r="Z82" s="131"/>
      <c r="AA82" s="131"/>
      <c r="AB82" s="131"/>
      <c r="AC82" s="131"/>
    </row>
    <row r="83" spans="2:29" x14ac:dyDescent="0.2">
      <c r="B83" s="151"/>
      <c r="C83" s="322"/>
      <c r="D83" s="1091"/>
      <c r="E83" s="1155"/>
      <c r="H83" s="340"/>
      <c r="L83" s="131"/>
      <c r="M83" s="131"/>
      <c r="N83" s="131"/>
      <c r="O83" s="131"/>
      <c r="P83" s="131"/>
      <c r="Q83" s="131"/>
      <c r="R83" s="131"/>
      <c r="S83" s="131"/>
      <c r="T83" s="131"/>
      <c r="U83" s="131"/>
      <c r="V83" s="131"/>
      <c r="W83" s="131"/>
      <c r="X83" s="131"/>
      <c r="Y83" s="131"/>
      <c r="Z83" s="131"/>
      <c r="AA83" s="131"/>
      <c r="AB83" s="131"/>
      <c r="AC83" s="131"/>
    </row>
    <row r="84" spans="2:29" x14ac:dyDescent="0.2">
      <c r="B84" s="151"/>
      <c r="C84" s="152"/>
      <c r="H84" s="340"/>
      <c r="L84" s="131"/>
      <c r="M84" s="131"/>
      <c r="N84" s="131"/>
      <c r="O84" s="131"/>
      <c r="P84" s="131"/>
      <c r="Q84" s="131"/>
      <c r="R84" s="131"/>
      <c r="S84" s="131"/>
      <c r="T84" s="131"/>
      <c r="U84" s="131"/>
      <c r="V84" s="131"/>
      <c r="W84" s="131"/>
      <c r="X84" s="131"/>
      <c r="Y84" s="131"/>
      <c r="Z84" s="131"/>
      <c r="AA84" s="131"/>
      <c r="AB84" s="131"/>
      <c r="AC84" s="131"/>
    </row>
    <row r="85" spans="2:29" x14ac:dyDescent="0.2">
      <c r="B85" s="151"/>
      <c r="C85" s="152"/>
      <c r="H85" s="340"/>
      <c r="L85" s="131"/>
      <c r="M85" s="131"/>
      <c r="N85" s="131"/>
      <c r="O85" s="131"/>
      <c r="P85" s="131"/>
      <c r="Q85" s="131"/>
      <c r="R85" s="131"/>
      <c r="S85" s="131"/>
      <c r="T85" s="131"/>
      <c r="U85" s="131"/>
      <c r="V85" s="131"/>
      <c r="W85" s="131"/>
      <c r="X85" s="131"/>
      <c r="Y85" s="131"/>
      <c r="Z85" s="131"/>
      <c r="AA85" s="131"/>
      <c r="AB85" s="131"/>
      <c r="AC85" s="131"/>
    </row>
    <row r="86" spans="2:29" x14ac:dyDescent="0.2">
      <c r="B86" s="151"/>
      <c r="C86" s="152"/>
      <c r="H86" s="340"/>
      <c r="L86" s="131"/>
      <c r="M86" s="131"/>
      <c r="N86" s="131"/>
      <c r="O86" s="131"/>
      <c r="P86" s="131"/>
      <c r="Q86" s="131"/>
      <c r="R86" s="131"/>
      <c r="S86" s="131"/>
      <c r="T86" s="131"/>
      <c r="U86" s="131"/>
      <c r="V86" s="131"/>
      <c r="W86" s="131"/>
      <c r="X86" s="131"/>
      <c r="Y86" s="131"/>
      <c r="Z86" s="131"/>
      <c r="AA86" s="131"/>
      <c r="AB86" s="131"/>
      <c r="AC86" s="131"/>
    </row>
    <row r="87" spans="2:29" x14ac:dyDescent="0.2">
      <c r="B87" s="151"/>
      <c r="C87" s="152"/>
      <c r="H87" s="340"/>
      <c r="L87" s="131"/>
      <c r="M87" s="131"/>
      <c r="N87" s="131"/>
      <c r="O87" s="131"/>
      <c r="P87" s="131"/>
      <c r="Q87" s="131"/>
      <c r="R87" s="131"/>
      <c r="S87" s="131"/>
      <c r="T87" s="131"/>
      <c r="U87" s="131"/>
      <c r="V87" s="131"/>
      <c r="W87" s="131"/>
      <c r="X87" s="131"/>
      <c r="Y87" s="131"/>
      <c r="Z87" s="131"/>
      <c r="AA87" s="131"/>
      <c r="AB87" s="131"/>
      <c r="AC87" s="131"/>
    </row>
    <row r="88" spans="2:29" x14ac:dyDescent="0.2">
      <c r="B88" s="151"/>
      <c r="C88" s="152"/>
      <c r="H88" s="340"/>
      <c r="L88" s="131"/>
      <c r="M88" s="131"/>
      <c r="N88" s="131"/>
      <c r="O88" s="131"/>
      <c r="P88" s="131"/>
      <c r="Q88" s="131"/>
      <c r="R88" s="131"/>
      <c r="S88" s="131"/>
      <c r="T88" s="131"/>
      <c r="U88" s="131"/>
      <c r="V88" s="131"/>
      <c r="W88" s="131"/>
      <c r="X88" s="131"/>
      <c r="Y88" s="131"/>
      <c r="Z88" s="131"/>
      <c r="AA88" s="131"/>
      <c r="AB88" s="131"/>
      <c r="AC88" s="131"/>
    </row>
    <row r="89" spans="2:29" x14ac:dyDescent="0.2">
      <c r="B89" s="151"/>
      <c r="C89" s="152"/>
      <c r="H89" s="340"/>
      <c r="L89" s="131"/>
      <c r="M89" s="131"/>
      <c r="N89" s="131"/>
      <c r="O89" s="131"/>
      <c r="P89" s="131"/>
      <c r="Q89" s="131"/>
      <c r="R89" s="131"/>
      <c r="S89" s="131"/>
      <c r="T89" s="131"/>
      <c r="U89" s="131"/>
      <c r="V89" s="131"/>
      <c r="W89" s="131"/>
      <c r="X89" s="131"/>
      <c r="Y89" s="131"/>
      <c r="Z89" s="131"/>
      <c r="AA89" s="131"/>
      <c r="AB89" s="131"/>
      <c r="AC89" s="131"/>
    </row>
    <row r="90" spans="2:29" x14ac:dyDescent="0.2">
      <c r="B90" s="151"/>
      <c r="C90" s="152"/>
      <c r="H90" s="340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31"/>
      <c r="X90" s="131"/>
      <c r="Y90" s="131"/>
      <c r="Z90" s="131"/>
      <c r="AA90" s="131"/>
      <c r="AB90" s="131"/>
      <c r="AC90" s="131"/>
    </row>
    <row r="91" spans="2:29" x14ac:dyDescent="0.2">
      <c r="B91" s="151"/>
      <c r="C91" s="152"/>
      <c r="H91" s="340"/>
      <c r="L91" s="131"/>
      <c r="M91" s="131"/>
      <c r="N91" s="131"/>
      <c r="O91" s="131"/>
      <c r="P91" s="131"/>
      <c r="Q91" s="131"/>
      <c r="R91" s="131"/>
      <c r="S91" s="131"/>
      <c r="T91" s="131"/>
      <c r="U91" s="131"/>
      <c r="V91" s="131"/>
      <c r="W91" s="131"/>
      <c r="X91" s="131"/>
      <c r="Y91" s="131"/>
      <c r="Z91" s="131"/>
      <c r="AA91" s="131"/>
      <c r="AB91" s="131"/>
      <c r="AC91" s="131"/>
    </row>
    <row r="92" spans="2:29" x14ac:dyDescent="0.2">
      <c r="B92" s="151"/>
      <c r="C92" s="152"/>
      <c r="H92" s="340"/>
      <c r="L92" s="131"/>
      <c r="M92" s="131"/>
      <c r="N92" s="131"/>
      <c r="O92" s="131"/>
      <c r="P92" s="131"/>
      <c r="Q92" s="131"/>
      <c r="R92" s="131"/>
      <c r="S92" s="131"/>
      <c r="T92" s="131"/>
      <c r="U92" s="131"/>
      <c r="V92" s="131"/>
      <c r="W92" s="131"/>
      <c r="X92" s="131"/>
      <c r="Y92" s="131"/>
      <c r="Z92" s="131"/>
      <c r="AA92" s="131"/>
      <c r="AB92" s="131"/>
      <c r="AC92" s="131"/>
    </row>
    <row r="93" spans="2:29" x14ac:dyDescent="0.2">
      <c r="B93" s="151"/>
      <c r="C93" s="152"/>
      <c r="H93" s="340"/>
      <c r="L93" s="131"/>
      <c r="M93" s="131"/>
      <c r="N93" s="131"/>
      <c r="O93" s="131"/>
      <c r="P93" s="131"/>
      <c r="Q93" s="131"/>
      <c r="R93" s="131"/>
      <c r="S93" s="131"/>
      <c r="T93" s="131"/>
      <c r="U93" s="131"/>
      <c r="V93" s="131"/>
      <c r="W93" s="131"/>
      <c r="X93" s="131"/>
      <c r="Y93" s="131"/>
      <c r="Z93" s="131"/>
      <c r="AA93" s="131"/>
      <c r="AB93" s="131"/>
      <c r="AC93" s="131"/>
    </row>
    <row r="94" spans="2:29" x14ac:dyDescent="0.2">
      <c r="B94" s="151"/>
      <c r="C94" s="152"/>
      <c r="H94" s="340"/>
      <c r="L94" s="131"/>
      <c r="M94" s="131"/>
      <c r="N94" s="131"/>
      <c r="O94" s="131"/>
      <c r="P94" s="131"/>
      <c r="Q94" s="131"/>
      <c r="R94" s="131"/>
      <c r="S94" s="131"/>
      <c r="T94" s="131"/>
      <c r="U94" s="131"/>
      <c r="V94" s="131"/>
      <c r="W94" s="131"/>
      <c r="X94" s="131"/>
      <c r="Y94" s="131"/>
      <c r="Z94" s="131"/>
      <c r="AA94" s="131"/>
      <c r="AB94" s="131"/>
      <c r="AC94" s="131"/>
    </row>
    <row r="95" spans="2:29" x14ac:dyDescent="0.2">
      <c r="B95" s="151"/>
      <c r="C95" s="152"/>
      <c r="H95" s="340"/>
      <c r="L95" s="131"/>
      <c r="M95" s="131"/>
      <c r="N95" s="131"/>
      <c r="O95" s="131"/>
      <c r="P95" s="131"/>
      <c r="Q95" s="131"/>
      <c r="R95" s="131"/>
      <c r="S95" s="131"/>
      <c r="T95" s="131"/>
      <c r="U95" s="131"/>
      <c r="V95" s="131"/>
      <c r="W95" s="131"/>
      <c r="X95" s="131"/>
      <c r="Y95" s="131"/>
      <c r="Z95" s="131"/>
      <c r="AA95" s="131"/>
      <c r="AB95" s="131"/>
      <c r="AC95" s="131"/>
    </row>
    <row r="96" spans="2:29" x14ac:dyDescent="0.2">
      <c r="B96" s="151"/>
      <c r="C96" s="152"/>
      <c r="H96" s="340"/>
      <c r="L96" s="131"/>
      <c r="M96" s="131"/>
      <c r="N96" s="131"/>
      <c r="O96" s="131"/>
      <c r="P96" s="131"/>
      <c r="Q96" s="131"/>
      <c r="R96" s="131"/>
      <c r="S96" s="131"/>
      <c r="T96" s="131"/>
      <c r="U96" s="131"/>
      <c r="V96" s="131"/>
      <c r="W96" s="131"/>
      <c r="X96" s="131"/>
      <c r="Y96" s="131"/>
      <c r="Z96" s="131"/>
      <c r="AA96" s="131"/>
      <c r="AB96" s="131"/>
      <c r="AC96" s="131"/>
    </row>
    <row r="97" spans="2:29" x14ac:dyDescent="0.2">
      <c r="B97" s="151"/>
      <c r="C97" s="152"/>
      <c r="H97" s="340"/>
      <c r="L97" s="131"/>
      <c r="M97" s="131"/>
      <c r="N97" s="131"/>
      <c r="O97" s="131"/>
      <c r="P97" s="131"/>
      <c r="Q97" s="131"/>
      <c r="R97" s="131"/>
      <c r="S97" s="131"/>
      <c r="T97" s="131"/>
      <c r="U97" s="131"/>
      <c r="V97" s="131"/>
      <c r="W97" s="131"/>
      <c r="X97" s="131"/>
      <c r="Y97" s="131"/>
      <c r="Z97" s="131"/>
      <c r="AA97" s="131"/>
      <c r="AB97" s="131"/>
      <c r="AC97" s="131"/>
    </row>
    <row r="98" spans="2:29" x14ac:dyDescent="0.2">
      <c r="B98" s="151"/>
      <c r="C98" s="152"/>
      <c r="H98" s="340"/>
      <c r="L98" s="131"/>
      <c r="M98" s="131"/>
      <c r="N98" s="131"/>
      <c r="O98" s="131"/>
      <c r="P98" s="131"/>
      <c r="Q98" s="131"/>
      <c r="R98" s="131"/>
      <c r="S98" s="131"/>
      <c r="T98" s="131"/>
      <c r="U98" s="131"/>
      <c r="V98" s="131"/>
      <c r="W98" s="131"/>
      <c r="X98" s="131"/>
      <c r="Y98" s="131"/>
      <c r="Z98" s="131"/>
      <c r="AA98" s="131"/>
      <c r="AB98" s="131"/>
      <c r="AC98" s="131"/>
    </row>
    <row r="99" spans="2:29" x14ac:dyDescent="0.2">
      <c r="B99" s="151"/>
      <c r="C99" s="152"/>
      <c r="H99" s="340"/>
      <c r="L99" s="131"/>
      <c r="M99" s="131"/>
      <c r="N99" s="131"/>
      <c r="O99" s="131"/>
      <c r="P99" s="131"/>
      <c r="Q99" s="131"/>
      <c r="R99" s="131"/>
      <c r="S99" s="131"/>
      <c r="T99" s="131"/>
      <c r="U99" s="131"/>
      <c r="V99" s="131"/>
      <c r="W99" s="131"/>
      <c r="X99" s="131"/>
      <c r="Y99" s="131"/>
      <c r="Z99" s="131"/>
      <c r="AA99" s="131"/>
      <c r="AB99" s="131"/>
      <c r="AC99" s="131"/>
    </row>
    <row r="100" spans="2:29" x14ac:dyDescent="0.2">
      <c r="B100" s="151"/>
      <c r="C100" s="152"/>
      <c r="H100" s="340"/>
      <c r="L100" s="131"/>
      <c r="M100" s="131"/>
      <c r="N100" s="131"/>
      <c r="O100" s="131"/>
      <c r="P100" s="131"/>
      <c r="Q100" s="131"/>
      <c r="R100" s="131"/>
      <c r="S100" s="131"/>
      <c r="T100" s="131"/>
      <c r="U100" s="131"/>
      <c r="V100" s="131"/>
      <c r="W100" s="131"/>
      <c r="X100" s="131"/>
      <c r="Y100" s="131"/>
      <c r="Z100" s="131"/>
      <c r="AA100" s="131"/>
      <c r="AB100" s="131"/>
      <c r="AC100" s="131"/>
    </row>
    <row r="101" spans="2:29" x14ac:dyDescent="0.2">
      <c r="B101" s="151"/>
      <c r="C101" s="152"/>
      <c r="H101" s="340"/>
      <c r="L101" s="131"/>
      <c r="M101" s="131"/>
      <c r="N101" s="131"/>
      <c r="O101" s="131"/>
      <c r="P101" s="131"/>
      <c r="Q101" s="131"/>
      <c r="R101" s="131"/>
      <c r="S101" s="131"/>
      <c r="T101" s="131"/>
      <c r="U101" s="131"/>
      <c r="V101" s="131"/>
      <c r="W101" s="131"/>
      <c r="X101" s="131"/>
      <c r="Y101" s="131"/>
      <c r="Z101" s="131"/>
      <c r="AA101" s="131"/>
      <c r="AB101" s="131"/>
      <c r="AC101" s="131"/>
    </row>
    <row r="102" spans="2:29" x14ac:dyDescent="0.2">
      <c r="B102" s="151"/>
      <c r="C102" s="152"/>
      <c r="H102" s="340"/>
      <c r="L102" s="131"/>
      <c r="M102" s="131"/>
      <c r="N102" s="131"/>
      <c r="O102" s="131"/>
      <c r="P102" s="131"/>
      <c r="Q102" s="131"/>
      <c r="R102" s="131"/>
      <c r="S102" s="131"/>
      <c r="T102" s="131"/>
      <c r="U102" s="131"/>
      <c r="V102" s="131"/>
      <c r="W102" s="131"/>
      <c r="X102" s="131"/>
      <c r="Y102" s="131"/>
      <c r="Z102" s="131"/>
      <c r="AA102" s="131"/>
      <c r="AB102" s="131"/>
      <c r="AC102" s="131"/>
    </row>
    <row r="103" spans="2:29" x14ac:dyDescent="0.2">
      <c r="B103" s="151"/>
      <c r="C103" s="152"/>
      <c r="H103" s="340"/>
      <c r="L103" s="131"/>
      <c r="M103" s="131"/>
      <c r="N103" s="131"/>
      <c r="O103" s="131"/>
      <c r="P103" s="131"/>
      <c r="Q103" s="131"/>
      <c r="R103" s="131"/>
      <c r="S103" s="131"/>
      <c r="T103" s="131"/>
      <c r="U103" s="131"/>
      <c r="V103" s="131"/>
      <c r="W103" s="131"/>
      <c r="X103" s="131"/>
      <c r="Y103" s="131"/>
      <c r="Z103" s="131"/>
      <c r="AA103" s="131"/>
      <c r="AB103" s="131"/>
      <c r="AC103" s="131"/>
    </row>
    <row r="104" spans="2:29" x14ac:dyDescent="0.2">
      <c r="B104" s="151"/>
      <c r="C104" s="152"/>
      <c r="H104" s="340"/>
      <c r="L104" s="131"/>
      <c r="M104" s="131"/>
      <c r="N104" s="131"/>
      <c r="O104" s="131"/>
      <c r="P104" s="131"/>
      <c r="Q104" s="131"/>
      <c r="R104" s="131"/>
      <c r="S104" s="131"/>
      <c r="T104" s="131"/>
      <c r="U104" s="131"/>
      <c r="V104" s="131"/>
      <c r="W104" s="131"/>
      <c r="X104" s="131"/>
      <c r="Y104" s="131"/>
      <c r="Z104" s="131"/>
      <c r="AA104" s="131"/>
      <c r="AB104" s="131"/>
      <c r="AC104" s="131"/>
    </row>
    <row r="105" spans="2:29" x14ac:dyDescent="0.2">
      <c r="B105" s="151"/>
      <c r="C105" s="152"/>
      <c r="H105" s="340"/>
      <c r="L105" s="131"/>
      <c r="M105" s="131"/>
      <c r="N105" s="131"/>
      <c r="O105" s="131"/>
      <c r="P105" s="131"/>
      <c r="Q105" s="131"/>
      <c r="R105" s="131"/>
      <c r="S105" s="131"/>
      <c r="T105" s="131"/>
      <c r="U105" s="131"/>
      <c r="V105" s="131"/>
      <c r="W105" s="131"/>
      <c r="X105" s="131"/>
      <c r="Y105" s="131"/>
      <c r="Z105" s="131"/>
      <c r="AA105" s="131"/>
      <c r="AB105" s="131"/>
      <c r="AC105" s="131"/>
    </row>
    <row r="106" spans="2:29" x14ac:dyDescent="0.2">
      <c r="B106" s="151"/>
      <c r="C106" s="152"/>
      <c r="H106" s="340"/>
      <c r="L106" s="131"/>
      <c r="M106" s="131"/>
      <c r="N106" s="131"/>
      <c r="O106" s="131"/>
      <c r="P106" s="131"/>
      <c r="Q106" s="131"/>
      <c r="R106" s="131"/>
      <c r="S106" s="131"/>
      <c r="T106" s="131"/>
      <c r="U106" s="131"/>
      <c r="V106" s="131"/>
      <c r="W106" s="131"/>
      <c r="X106" s="131"/>
      <c r="Y106" s="131"/>
      <c r="Z106" s="131"/>
      <c r="AA106" s="131"/>
      <c r="AB106" s="131"/>
      <c r="AC106" s="131"/>
    </row>
    <row r="107" spans="2:29" x14ac:dyDescent="0.2">
      <c r="B107" s="151"/>
      <c r="C107" s="152"/>
      <c r="H107" s="340"/>
      <c r="L107" s="131"/>
      <c r="M107" s="131"/>
      <c r="N107" s="131"/>
      <c r="O107" s="131"/>
      <c r="P107" s="131"/>
      <c r="Q107" s="131"/>
      <c r="R107" s="131"/>
      <c r="S107" s="131"/>
      <c r="T107" s="131"/>
      <c r="U107" s="131"/>
      <c r="V107" s="131"/>
      <c r="W107" s="131"/>
      <c r="X107" s="131"/>
      <c r="Y107" s="131"/>
      <c r="Z107" s="131"/>
      <c r="AA107" s="131"/>
      <c r="AB107" s="131"/>
      <c r="AC107" s="131"/>
    </row>
    <row r="108" spans="2:29" x14ac:dyDescent="0.2">
      <c r="B108" s="151"/>
      <c r="C108" s="152"/>
      <c r="H108" s="340"/>
      <c r="L108" s="131"/>
      <c r="M108" s="131"/>
      <c r="N108" s="131"/>
      <c r="O108" s="131"/>
      <c r="P108" s="131"/>
      <c r="Q108" s="131"/>
      <c r="R108" s="131"/>
      <c r="S108" s="131"/>
      <c r="T108" s="131"/>
      <c r="U108" s="131"/>
      <c r="V108" s="131"/>
      <c r="W108" s="131"/>
      <c r="X108" s="131"/>
      <c r="Y108" s="131"/>
      <c r="Z108" s="131"/>
      <c r="AA108" s="131"/>
      <c r="AB108" s="131"/>
      <c r="AC108" s="131"/>
    </row>
    <row r="109" spans="2:29" x14ac:dyDescent="0.2">
      <c r="B109" s="151"/>
      <c r="C109" s="152"/>
      <c r="H109" s="340"/>
      <c r="L109" s="131"/>
      <c r="M109" s="131"/>
      <c r="N109" s="131"/>
      <c r="O109" s="131"/>
      <c r="P109" s="131"/>
      <c r="Q109" s="131"/>
      <c r="R109" s="131"/>
      <c r="S109" s="131"/>
      <c r="T109" s="131"/>
      <c r="U109" s="131"/>
      <c r="V109" s="131"/>
      <c r="W109" s="131"/>
      <c r="X109" s="131"/>
      <c r="Y109" s="131"/>
      <c r="Z109" s="131"/>
      <c r="AA109" s="131"/>
      <c r="AB109" s="131"/>
      <c r="AC109" s="131"/>
    </row>
    <row r="110" spans="2:29" x14ac:dyDescent="0.2">
      <c r="B110" s="151"/>
      <c r="C110" s="152"/>
      <c r="H110" s="340"/>
      <c r="L110" s="131"/>
      <c r="M110" s="131"/>
      <c r="N110" s="131"/>
      <c r="O110" s="131"/>
      <c r="P110" s="131"/>
      <c r="Q110" s="131"/>
      <c r="R110" s="131"/>
      <c r="S110" s="131"/>
      <c r="T110" s="131"/>
      <c r="U110" s="131"/>
      <c r="V110" s="131"/>
      <c r="W110" s="131"/>
      <c r="X110" s="131"/>
      <c r="Y110" s="131"/>
      <c r="Z110" s="131"/>
      <c r="AA110" s="131"/>
      <c r="AB110" s="131"/>
      <c r="AC110" s="131"/>
    </row>
    <row r="111" spans="2:29" x14ac:dyDescent="0.2">
      <c r="B111" s="151"/>
      <c r="C111" s="152"/>
      <c r="H111" s="340"/>
      <c r="L111" s="131"/>
      <c r="M111" s="131"/>
      <c r="N111" s="131"/>
      <c r="O111" s="131"/>
      <c r="P111" s="131"/>
      <c r="Q111" s="131"/>
      <c r="R111" s="131"/>
      <c r="S111" s="131"/>
      <c r="T111" s="131"/>
      <c r="U111" s="131"/>
      <c r="V111" s="131"/>
      <c r="W111" s="131"/>
      <c r="X111" s="131"/>
      <c r="Y111" s="131"/>
      <c r="Z111" s="131"/>
      <c r="AA111" s="131"/>
      <c r="AB111" s="131"/>
      <c r="AC111" s="131"/>
    </row>
    <row r="112" spans="2:29" x14ac:dyDescent="0.2">
      <c r="B112" s="151"/>
      <c r="C112" s="152"/>
      <c r="H112" s="340"/>
      <c r="L112" s="131"/>
      <c r="M112" s="131"/>
      <c r="N112" s="131"/>
      <c r="O112" s="131"/>
      <c r="P112" s="131"/>
      <c r="Q112" s="131"/>
      <c r="R112" s="131"/>
      <c r="S112" s="131"/>
      <c r="T112" s="131"/>
      <c r="U112" s="131"/>
      <c r="V112" s="131"/>
      <c r="W112" s="131"/>
      <c r="X112" s="131"/>
      <c r="Y112" s="131"/>
      <c r="Z112" s="131"/>
      <c r="AA112" s="131"/>
      <c r="AB112" s="131"/>
      <c r="AC112" s="131"/>
    </row>
    <row r="113" spans="2:29" x14ac:dyDescent="0.2">
      <c r="B113" s="151"/>
      <c r="C113" s="152"/>
      <c r="H113" s="340"/>
      <c r="L113" s="131"/>
      <c r="M113" s="131"/>
      <c r="N113" s="131"/>
      <c r="O113" s="131"/>
      <c r="P113" s="131"/>
      <c r="Q113" s="131"/>
      <c r="R113" s="131"/>
      <c r="S113" s="131"/>
      <c r="T113" s="131"/>
      <c r="U113" s="131"/>
      <c r="V113" s="131"/>
      <c r="W113" s="131"/>
      <c r="X113" s="131"/>
      <c r="Y113" s="131"/>
      <c r="Z113" s="131"/>
      <c r="AA113" s="131"/>
      <c r="AB113" s="131"/>
      <c r="AC113" s="131"/>
    </row>
    <row r="114" spans="2:29" x14ac:dyDescent="0.2">
      <c r="B114" s="151"/>
      <c r="C114" s="152"/>
      <c r="H114" s="340"/>
      <c r="L114" s="131"/>
      <c r="M114" s="131"/>
      <c r="N114" s="131"/>
      <c r="O114" s="131"/>
      <c r="P114" s="131"/>
      <c r="Q114" s="131"/>
      <c r="R114" s="131"/>
      <c r="S114" s="131"/>
      <c r="T114" s="131"/>
      <c r="U114" s="131"/>
      <c r="V114" s="131"/>
      <c r="W114" s="131"/>
      <c r="X114" s="131"/>
      <c r="Y114" s="131"/>
      <c r="Z114" s="131"/>
      <c r="AA114" s="131"/>
      <c r="AB114" s="131"/>
      <c r="AC114" s="131"/>
    </row>
    <row r="115" spans="2:29" x14ac:dyDescent="0.2">
      <c r="B115" s="151"/>
      <c r="C115" s="152"/>
      <c r="H115" s="340"/>
      <c r="L115" s="131"/>
      <c r="M115" s="131"/>
      <c r="N115" s="131"/>
      <c r="O115" s="131"/>
      <c r="P115" s="131"/>
      <c r="Q115" s="131"/>
      <c r="R115" s="131"/>
      <c r="S115" s="131"/>
      <c r="T115" s="131"/>
      <c r="U115" s="131"/>
      <c r="V115" s="131"/>
      <c r="W115" s="131"/>
      <c r="X115" s="131"/>
      <c r="Y115" s="131"/>
      <c r="Z115" s="131"/>
      <c r="AA115" s="131"/>
      <c r="AB115" s="131"/>
      <c r="AC115" s="131"/>
    </row>
    <row r="116" spans="2:29" x14ac:dyDescent="0.2">
      <c r="B116" s="151"/>
      <c r="C116" s="152"/>
      <c r="H116" s="340"/>
      <c r="L116" s="131"/>
      <c r="M116" s="131"/>
      <c r="N116" s="131"/>
      <c r="O116" s="131"/>
      <c r="P116" s="131"/>
      <c r="Q116" s="131"/>
      <c r="R116" s="131"/>
      <c r="S116" s="131"/>
      <c r="T116" s="131"/>
      <c r="U116" s="131"/>
      <c r="V116" s="131"/>
      <c r="W116" s="131"/>
      <c r="X116" s="131"/>
      <c r="Y116" s="131"/>
      <c r="Z116" s="131"/>
      <c r="AA116" s="131"/>
      <c r="AB116" s="131"/>
      <c r="AC116" s="131"/>
    </row>
    <row r="117" spans="2:29" x14ac:dyDescent="0.2">
      <c r="B117" s="151"/>
      <c r="C117" s="152"/>
      <c r="H117" s="340"/>
      <c r="L117" s="131"/>
      <c r="M117" s="131"/>
      <c r="N117" s="131"/>
      <c r="O117" s="131"/>
      <c r="P117" s="131"/>
      <c r="Q117" s="131"/>
      <c r="R117" s="131"/>
      <c r="S117" s="131"/>
      <c r="T117" s="131"/>
      <c r="U117" s="131"/>
      <c r="V117" s="131"/>
      <c r="W117" s="131"/>
      <c r="X117" s="131"/>
      <c r="Y117" s="131"/>
      <c r="Z117" s="131"/>
      <c r="AA117" s="131"/>
      <c r="AB117" s="131"/>
      <c r="AC117" s="131"/>
    </row>
    <row r="118" spans="2:29" x14ac:dyDescent="0.2">
      <c r="B118" s="151"/>
      <c r="C118" s="152"/>
      <c r="H118" s="340"/>
      <c r="L118" s="131"/>
      <c r="M118" s="131"/>
      <c r="N118" s="131"/>
      <c r="O118" s="131"/>
      <c r="P118" s="131"/>
      <c r="Q118" s="131"/>
      <c r="R118" s="131"/>
      <c r="S118" s="131"/>
      <c r="T118" s="131"/>
      <c r="U118" s="131"/>
      <c r="V118" s="131"/>
      <c r="W118" s="131"/>
      <c r="X118" s="131"/>
      <c r="Y118" s="131"/>
      <c r="Z118" s="131"/>
      <c r="AA118" s="131"/>
      <c r="AB118" s="131"/>
      <c r="AC118" s="131"/>
    </row>
    <row r="119" spans="2:29" x14ac:dyDescent="0.2">
      <c r="B119" s="151"/>
      <c r="C119" s="152"/>
      <c r="H119" s="340"/>
      <c r="L119" s="131"/>
      <c r="M119" s="131"/>
      <c r="N119" s="131"/>
      <c r="O119" s="131"/>
      <c r="P119" s="131"/>
      <c r="Q119" s="131"/>
      <c r="R119" s="131"/>
      <c r="S119" s="131"/>
      <c r="T119" s="131"/>
      <c r="U119" s="131"/>
      <c r="V119" s="131"/>
      <c r="W119" s="131"/>
      <c r="X119" s="131"/>
      <c r="Y119" s="131"/>
      <c r="Z119" s="131"/>
      <c r="AA119" s="131"/>
      <c r="AB119" s="131"/>
      <c r="AC119" s="131"/>
    </row>
    <row r="120" spans="2:29" x14ac:dyDescent="0.2">
      <c r="B120" s="151"/>
      <c r="C120" s="152"/>
      <c r="H120" s="340"/>
      <c r="L120" s="131"/>
      <c r="M120" s="131"/>
      <c r="N120" s="131"/>
      <c r="O120" s="131"/>
      <c r="P120" s="131"/>
      <c r="Q120" s="131"/>
      <c r="R120" s="131"/>
      <c r="S120" s="131"/>
      <c r="T120" s="131"/>
      <c r="U120" s="131"/>
      <c r="V120" s="131"/>
      <c r="W120" s="131"/>
      <c r="X120" s="131"/>
      <c r="Y120" s="131"/>
      <c r="Z120" s="131"/>
      <c r="AA120" s="131"/>
      <c r="AB120" s="131"/>
      <c r="AC120" s="131"/>
    </row>
    <row r="121" spans="2:29" x14ac:dyDescent="0.2">
      <c r="B121" s="151"/>
      <c r="C121" s="152"/>
      <c r="H121" s="340"/>
      <c r="L121" s="131"/>
      <c r="M121" s="131"/>
      <c r="N121" s="131"/>
      <c r="O121" s="131"/>
      <c r="P121" s="131"/>
      <c r="Q121" s="131"/>
      <c r="R121" s="131"/>
      <c r="S121" s="131"/>
      <c r="T121" s="131"/>
      <c r="U121" s="131"/>
      <c r="V121" s="131"/>
      <c r="W121" s="131"/>
      <c r="X121" s="131"/>
      <c r="Y121" s="131"/>
      <c r="Z121" s="131"/>
      <c r="AA121" s="131"/>
      <c r="AB121" s="131"/>
      <c r="AC121" s="131"/>
    </row>
    <row r="122" spans="2:29" x14ac:dyDescent="0.2">
      <c r="B122" s="151"/>
      <c r="C122" s="152"/>
      <c r="H122" s="340"/>
      <c r="L122" s="131"/>
      <c r="M122" s="131"/>
      <c r="N122" s="131"/>
      <c r="O122" s="131"/>
      <c r="P122" s="131"/>
      <c r="Q122" s="131"/>
      <c r="R122" s="131"/>
      <c r="S122" s="131"/>
      <c r="T122" s="131"/>
      <c r="U122" s="131"/>
      <c r="V122" s="131"/>
      <c r="W122" s="131"/>
      <c r="X122" s="131"/>
      <c r="Y122" s="131"/>
      <c r="Z122" s="131"/>
      <c r="AA122" s="131"/>
      <c r="AB122" s="131"/>
      <c r="AC122" s="131"/>
    </row>
    <row r="123" spans="2:29" x14ac:dyDescent="0.2">
      <c r="B123" s="151"/>
      <c r="C123" s="152"/>
      <c r="H123" s="340"/>
      <c r="L123" s="131"/>
      <c r="M123" s="131"/>
      <c r="N123" s="131"/>
      <c r="O123" s="131"/>
      <c r="P123" s="131"/>
      <c r="Q123" s="131"/>
      <c r="R123" s="131"/>
      <c r="S123" s="131"/>
      <c r="T123" s="131"/>
      <c r="U123" s="131"/>
      <c r="V123" s="131"/>
      <c r="W123" s="131"/>
      <c r="X123" s="131"/>
      <c r="Y123" s="131"/>
      <c r="Z123" s="131"/>
      <c r="AA123" s="131"/>
      <c r="AB123" s="131"/>
      <c r="AC123" s="131"/>
    </row>
    <row r="124" spans="2:29" x14ac:dyDescent="0.2">
      <c r="B124" s="151"/>
      <c r="C124" s="152"/>
      <c r="H124" s="340"/>
      <c r="L124" s="131"/>
      <c r="M124" s="131"/>
      <c r="N124" s="131"/>
      <c r="O124" s="131"/>
      <c r="P124" s="131"/>
      <c r="Q124" s="131"/>
      <c r="R124" s="131"/>
      <c r="S124" s="131"/>
      <c r="T124" s="131"/>
      <c r="U124" s="131"/>
      <c r="V124" s="131"/>
      <c r="W124" s="131"/>
      <c r="X124" s="131"/>
      <c r="Y124" s="131"/>
      <c r="Z124" s="131"/>
      <c r="AA124" s="131"/>
      <c r="AB124" s="131"/>
      <c r="AC124" s="131"/>
    </row>
    <row r="125" spans="2:29" x14ac:dyDescent="0.2">
      <c r="B125" s="151"/>
      <c r="C125" s="152"/>
      <c r="H125" s="340"/>
      <c r="L125" s="131"/>
      <c r="M125" s="131"/>
      <c r="N125" s="131"/>
      <c r="O125" s="131"/>
      <c r="P125" s="131"/>
      <c r="Q125" s="131"/>
      <c r="R125" s="131"/>
      <c r="S125" s="131"/>
      <c r="T125" s="131"/>
      <c r="U125" s="131"/>
      <c r="V125" s="131"/>
      <c r="W125" s="131"/>
      <c r="X125" s="131"/>
      <c r="Y125" s="131"/>
      <c r="Z125" s="131"/>
      <c r="AA125" s="131"/>
      <c r="AB125" s="131"/>
      <c r="AC125" s="131"/>
    </row>
    <row r="126" spans="2:29" x14ac:dyDescent="0.2">
      <c r="B126" s="151"/>
      <c r="C126" s="152"/>
      <c r="H126" s="340"/>
      <c r="L126" s="131"/>
      <c r="M126" s="131"/>
      <c r="N126" s="131"/>
      <c r="O126" s="131"/>
      <c r="P126" s="131"/>
      <c r="Q126" s="131"/>
      <c r="R126" s="131"/>
      <c r="S126" s="131"/>
      <c r="T126" s="131"/>
      <c r="U126" s="131"/>
      <c r="V126" s="131"/>
      <c r="W126" s="131"/>
      <c r="X126" s="131"/>
      <c r="Y126" s="131"/>
      <c r="Z126" s="131"/>
      <c r="AA126" s="131"/>
      <c r="AB126" s="131"/>
      <c r="AC126" s="131"/>
    </row>
    <row r="127" spans="2:29" x14ac:dyDescent="0.2">
      <c r="B127" s="151"/>
      <c r="C127" s="152"/>
      <c r="H127" s="340"/>
      <c r="L127" s="131"/>
      <c r="M127" s="131"/>
      <c r="N127" s="131"/>
      <c r="O127" s="131"/>
      <c r="P127" s="131"/>
      <c r="Q127" s="131"/>
      <c r="R127" s="131"/>
      <c r="S127" s="131"/>
      <c r="T127" s="131"/>
      <c r="U127" s="131"/>
      <c r="V127" s="131"/>
      <c r="W127" s="131"/>
      <c r="X127" s="131"/>
      <c r="Y127" s="131"/>
      <c r="Z127" s="131"/>
      <c r="AA127" s="131"/>
      <c r="AB127" s="131"/>
      <c r="AC127" s="131"/>
    </row>
    <row r="128" spans="2:29" x14ac:dyDescent="0.2">
      <c r="B128" s="151"/>
      <c r="C128" s="152"/>
      <c r="H128" s="340"/>
      <c r="L128" s="131"/>
      <c r="M128" s="131"/>
      <c r="N128" s="131"/>
      <c r="O128" s="131"/>
      <c r="P128" s="131"/>
      <c r="Q128" s="131"/>
      <c r="R128" s="131"/>
      <c r="S128" s="131"/>
      <c r="T128" s="131"/>
      <c r="U128" s="131"/>
      <c r="V128" s="131"/>
      <c r="W128" s="131"/>
      <c r="X128" s="131"/>
      <c r="Y128" s="131"/>
      <c r="Z128" s="131"/>
      <c r="AA128" s="131"/>
      <c r="AB128" s="131"/>
      <c r="AC128" s="131"/>
    </row>
    <row r="129" spans="2:29" x14ac:dyDescent="0.2">
      <c r="B129" s="151"/>
      <c r="C129" s="152"/>
      <c r="H129" s="340"/>
      <c r="L129" s="131"/>
      <c r="M129" s="131"/>
      <c r="N129" s="131"/>
      <c r="O129" s="131"/>
      <c r="P129" s="131"/>
      <c r="Q129" s="131"/>
      <c r="R129" s="131"/>
      <c r="S129" s="131"/>
      <c r="T129" s="131"/>
      <c r="U129" s="131"/>
      <c r="V129" s="131"/>
      <c r="W129" s="131"/>
      <c r="X129" s="131"/>
      <c r="Y129" s="131"/>
      <c r="Z129" s="131"/>
      <c r="AA129" s="131"/>
      <c r="AB129" s="131"/>
      <c r="AC129" s="131"/>
    </row>
    <row r="130" spans="2:29" x14ac:dyDescent="0.2">
      <c r="B130" s="151"/>
      <c r="C130" s="152"/>
      <c r="H130" s="340"/>
      <c r="L130" s="131"/>
      <c r="M130" s="131"/>
      <c r="N130" s="131"/>
      <c r="O130" s="131"/>
      <c r="P130" s="131"/>
      <c r="Q130" s="131"/>
      <c r="R130" s="131"/>
      <c r="S130" s="131"/>
      <c r="T130" s="131"/>
      <c r="U130" s="131"/>
      <c r="V130" s="131"/>
      <c r="W130" s="131"/>
      <c r="X130" s="131"/>
      <c r="Y130" s="131"/>
      <c r="Z130" s="131"/>
      <c r="AA130" s="131"/>
      <c r="AB130" s="131"/>
      <c r="AC130" s="131"/>
    </row>
    <row r="131" spans="2:29" x14ac:dyDescent="0.2">
      <c r="B131" s="151"/>
      <c r="C131" s="152"/>
      <c r="H131" s="340"/>
      <c r="L131" s="131"/>
      <c r="M131" s="131"/>
      <c r="N131" s="131"/>
      <c r="O131" s="131"/>
      <c r="P131" s="131"/>
      <c r="Q131" s="131"/>
      <c r="R131" s="131"/>
      <c r="S131" s="131"/>
      <c r="T131" s="131"/>
      <c r="U131" s="131"/>
      <c r="V131" s="131"/>
      <c r="W131" s="131"/>
      <c r="X131" s="131"/>
      <c r="Y131" s="131"/>
      <c r="Z131" s="131"/>
      <c r="AA131" s="131"/>
      <c r="AB131" s="131"/>
      <c r="AC131" s="131"/>
    </row>
    <row r="132" spans="2:29" x14ac:dyDescent="0.2">
      <c r="B132" s="151"/>
      <c r="C132" s="152"/>
      <c r="H132" s="340"/>
      <c r="L132" s="131"/>
      <c r="M132" s="131"/>
      <c r="N132" s="131"/>
      <c r="O132" s="131"/>
      <c r="P132" s="131"/>
      <c r="Q132" s="131"/>
      <c r="R132" s="131"/>
      <c r="S132" s="131"/>
      <c r="T132" s="131"/>
      <c r="U132" s="131"/>
      <c r="V132" s="131"/>
      <c r="W132" s="131"/>
      <c r="X132" s="131"/>
      <c r="Y132" s="131"/>
      <c r="Z132" s="131"/>
      <c r="AA132" s="131"/>
      <c r="AB132" s="131"/>
      <c r="AC132" s="131"/>
    </row>
    <row r="133" spans="2:29" x14ac:dyDescent="0.2">
      <c r="B133" s="151"/>
      <c r="C133" s="152"/>
      <c r="H133" s="340"/>
      <c r="L133" s="131"/>
      <c r="M133" s="131"/>
      <c r="N133" s="131"/>
      <c r="O133" s="131"/>
      <c r="P133" s="131"/>
      <c r="Q133" s="131"/>
      <c r="R133" s="131"/>
      <c r="S133" s="131"/>
      <c r="T133" s="131"/>
      <c r="U133" s="131"/>
      <c r="V133" s="131"/>
      <c r="W133" s="131"/>
      <c r="X133" s="131"/>
      <c r="Y133" s="131"/>
      <c r="Z133" s="131"/>
      <c r="AA133" s="131"/>
      <c r="AB133" s="131"/>
      <c r="AC133" s="131"/>
    </row>
    <row r="134" spans="2:29" x14ac:dyDescent="0.2">
      <c r="B134" s="151"/>
      <c r="C134" s="152"/>
      <c r="H134" s="340"/>
      <c r="L134" s="131"/>
      <c r="M134" s="131"/>
      <c r="N134" s="131"/>
      <c r="O134" s="131"/>
      <c r="P134" s="131"/>
      <c r="Q134" s="131"/>
      <c r="R134" s="131"/>
      <c r="S134" s="131"/>
      <c r="T134" s="131"/>
      <c r="U134" s="131"/>
      <c r="V134" s="131"/>
      <c r="W134" s="131"/>
      <c r="X134" s="131"/>
      <c r="Y134" s="131"/>
      <c r="Z134" s="131"/>
      <c r="AA134" s="131"/>
      <c r="AB134" s="131"/>
      <c r="AC134" s="131"/>
    </row>
    <row r="135" spans="2:29" x14ac:dyDescent="0.2">
      <c r="B135" s="151"/>
      <c r="C135" s="152"/>
      <c r="H135" s="340"/>
      <c r="L135" s="131"/>
      <c r="M135" s="131"/>
      <c r="N135" s="131"/>
      <c r="O135" s="131"/>
      <c r="P135" s="131"/>
      <c r="Q135" s="131"/>
      <c r="R135" s="131"/>
      <c r="S135" s="131"/>
      <c r="T135" s="131"/>
      <c r="U135" s="131"/>
      <c r="V135" s="131"/>
      <c r="W135" s="131"/>
      <c r="X135" s="131"/>
      <c r="Y135" s="131"/>
      <c r="Z135" s="131"/>
      <c r="AA135" s="131"/>
      <c r="AB135" s="131"/>
      <c r="AC135" s="131"/>
    </row>
    <row r="136" spans="2:29" x14ac:dyDescent="0.2">
      <c r="B136" s="151"/>
      <c r="C136" s="152"/>
      <c r="H136" s="340"/>
      <c r="L136" s="131"/>
      <c r="M136" s="131"/>
      <c r="N136" s="131"/>
      <c r="O136" s="131"/>
      <c r="P136" s="131"/>
      <c r="Q136" s="131"/>
      <c r="R136" s="131"/>
      <c r="S136" s="131"/>
      <c r="T136" s="131"/>
      <c r="U136" s="131"/>
      <c r="V136" s="131"/>
      <c r="W136" s="131"/>
      <c r="X136" s="131"/>
      <c r="Y136" s="131"/>
      <c r="Z136" s="131"/>
      <c r="AA136" s="131"/>
      <c r="AB136" s="131"/>
      <c r="AC136" s="131"/>
    </row>
    <row r="137" spans="2:29" x14ac:dyDescent="0.2">
      <c r="B137" s="151"/>
      <c r="C137" s="152"/>
      <c r="H137" s="340"/>
      <c r="L137" s="131"/>
      <c r="M137" s="131"/>
      <c r="N137" s="131"/>
      <c r="O137" s="131"/>
      <c r="P137" s="131"/>
      <c r="Q137" s="131"/>
      <c r="R137" s="131"/>
      <c r="S137" s="131"/>
      <c r="T137" s="131"/>
      <c r="U137" s="131"/>
      <c r="V137" s="131"/>
      <c r="W137" s="131"/>
      <c r="X137" s="131"/>
      <c r="Y137" s="131"/>
      <c r="Z137" s="131"/>
      <c r="AA137" s="131"/>
      <c r="AB137" s="131"/>
      <c r="AC137" s="131"/>
    </row>
    <row r="138" spans="2:29" x14ac:dyDescent="0.2">
      <c r="B138" s="151"/>
      <c r="C138" s="152"/>
      <c r="H138" s="340"/>
      <c r="L138" s="131"/>
      <c r="M138" s="131"/>
      <c r="N138" s="131"/>
      <c r="O138" s="131"/>
      <c r="P138" s="131"/>
      <c r="Q138" s="131"/>
      <c r="R138" s="131"/>
      <c r="S138" s="131"/>
      <c r="T138" s="131"/>
      <c r="U138" s="131"/>
      <c r="V138" s="131"/>
      <c r="W138" s="131"/>
      <c r="X138" s="131"/>
      <c r="Y138" s="131"/>
      <c r="Z138" s="131"/>
      <c r="AA138" s="131"/>
      <c r="AB138" s="131"/>
      <c r="AC138" s="131"/>
    </row>
    <row r="139" spans="2:29" x14ac:dyDescent="0.2">
      <c r="B139" s="151"/>
      <c r="C139" s="152"/>
      <c r="H139" s="340"/>
      <c r="L139" s="131"/>
      <c r="M139" s="131"/>
      <c r="N139" s="131"/>
      <c r="O139" s="131"/>
      <c r="P139" s="131"/>
      <c r="Q139" s="131"/>
      <c r="R139" s="131"/>
      <c r="S139" s="131"/>
      <c r="T139" s="131"/>
      <c r="U139" s="131"/>
      <c r="V139" s="131"/>
      <c r="W139" s="131"/>
      <c r="X139" s="131"/>
      <c r="Y139" s="131"/>
      <c r="Z139" s="131"/>
      <c r="AA139" s="131"/>
      <c r="AB139" s="131"/>
      <c r="AC139" s="131"/>
    </row>
    <row r="140" spans="2:29" x14ac:dyDescent="0.2">
      <c r="B140" s="151"/>
      <c r="C140" s="152"/>
      <c r="H140" s="340"/>
      <c r="L140" s="131"/>
      <c r="M140" s="131"/>
      <c r="N140" s="131"/>
      <c r="O140" s="131"/>
      <c r="P140" s="131"/>
      <c r="Q140" s="131"/>
      <c r="R140" s="131"/>
      <c r="S140" s="131"/>
      <c r="T140" s="131"/>
      <c r="U140" s="131"/>
      <c r="V140" s="131"/>
      <c r="W140" s="131"/>
      <c r="X140" s="131"/>
      <c r="Y140" s="131"/>
      <c r="Z140" s="131"/>
      <c r="AA140" s="131"/>
      <c r="AB140" s="131"/>
      <c r="AC140" s="131"/>
    </row>
    <row r="141" spans="2:29" x14ac:dyDescent="0.2">
      <c r="B141" s="151"/>
      <c r="C141" s="152"/>
      <c r="H141" s="340"/>
      <c r="L141" s="131"/>
      <c r="M141" s="131"/>
      <c r="N141" s="131"/>
      <c r="O141" s="131"/>
      <c r="P141" s="131"/>
      <c r="Q141" s="131"/>
      <c r="R141" s="131"/>
      <c r="S141" s="131"/>
      <c r="T141" s="131"/>
      <c r="U141" s="131"/>
      <c r="V141" s="131"/>
      <c r="W141" s="131"/>
      <c r="X141" s="131"/>
      <c r="Y141" s="131"/>
      <c r="Z141" s="131"/>
      <c r="AA141" s="131"/>
      <c r="AB141" s="131"/>
      <c r="AC141" s="131"/>
    </row>
    <row r="142" spans="2:29" x14ac:dyDescent="0.2">
      <c r="B142" s="151"/>
      <c r="C142" s="152"/>
      <c r="H142" s="340"/>
      <c r="L142" s="131"/>
      <c r="M142" s="131"/>
      <c r="N142" s="131"/>
      <c r="O142" s="131"/>
      <c r="P142" s="131"/>
      <c r="Q142" s="131"/>
      <c r="R142" s="131"/>
      <c r="S142" s="131"/>
      <c r="T142" s="131"/>
      <c r="U142" s="131"/>
      <c r="V142" s="131"/>
      <c r="W142" s="131"/>
      <c r="X142" s="131"/>
      <c r="Y142" s="131"/>
      <c r="Z142" s="131"/>
      <c r="AA142" s="131"/>
      <c r="AB142" s="131"/>
      <c r="AC142" s="131"/>
    </row>
    <row r="143" spans="2:29" x14ac:dyDescent="0.2">
      <c r="B143" s="151"/>
      <c r="C143" s="152"/>
      <c r="H143" s="340"/>
      <c r="L143" s="131"/>
      <c r="M143" s="131"/>
      <c r="N143" s="131"/>
      <c r="O143" s="131"/>
      <c r="P143" s="131"/>
      <c r="Q143" s="131"/>
      <c r="R143" s="131"/>
      <c r="S143" s="131"/>
      <c r="T143" s="131"/>
      <c r="U143" s="131"/>
      <c r="V143" s="131"/>
      <c r="W143" s="131"/>
      <c r="X143" s="131"/>
      <c r="Y143" s="131"/>
      <c r="Z143" s="131"/>
      <c r="AA143" s="131"/>
      <c r="AB143" s="131"/>
      <c r="AC143" s="131"/>
    </row>
    <row r="144" spans="2:29" x14ac:dyDescent="0.2">
      <c r="B144" s="151"/>
      <c r="C144" s="152"/>
      <c r="H144" s="340"/>
      <c r="L144" s="131"/>
      <c r="M144" s="131"/>
      <c r="N144" s="131"/>
      <c r="O144" s="131"/>
      <c r="P144" s="131"/>
      <c r="Q144" s="131"/>
      <c r="R144" s="131"/>
      <c r="S144" s="131"/>
      <c r="T144" s="131"/>
      <c r="U144" s="131"/>
      <c r="V144" s="131"/>
      <c r="W144" s="131"/>
      <c r="X144" s="131"/>
      <c r="Y144" s="131"/>
      <c r="Z144" s="131"/>
      <c r="AA144" s="131"/>
      <c r="AB144" s="131"/>
      <c r="AC144" s="131"/>
    </row>
    <row r="145" spans="2:29" x14ac:dyDescent="0.2">
      <c r="B145" s="151"/>
      <c r="C145" s="152"/>
      <c r="H145" s="340"/>
      <c r="L145" s="131"/>
      <c r="M145" s="131"/>
      <c r="N145" s="131"/>
      <c r="O145" s="131"/>
      <c r="P145" s="131"/>
      <c r="Q145" s="131"/>
      <c r="R145" s="131"/>
      <c r="S145" s="131"/>
      <c r="T145" s="131"/>
      <c r="U145" s="131"/>
      <c r="V145" s="131"/>
      <c r="W145" s="131"/>
      <c r="X145" s="131"/>
      <c r="Y145" s="131"/>
      <c r="Z145" s="131"/>
      <c r="AA145" s="131"/>
      <c r="AB145" s="131"/>
      <c r="AC145" s="131"/>
    </row>
    <row r="146" spans="2:29" x14ac:dyDescent="0.2">
      <c r="B146" s="151"/>
      <c r="C146" s="152"/>
      <c r="H146" s="340"/>
      <c r="L146" s="131"/>
      <c r="M146" s="131"/>
      <c r="N146" s="131"/>
      <c r="O146" s="131"/>
      <c r="P146" s="131"/>
      <c r="Q146" s="131"/>
      <c r="R146" s="131"/>
      <c r="S146" s="131"/>
      <c r="T146" s="131"/>
      <c r="U146" s="131"/>
      <c r="V146" s="131"/>
      <c r="W146" s="131"/>
      <c r="X146" s="131"/>
      <c r="Y146" s="131"/>
      <c r="Z146" s="131"/>
      <c r="AA146" s="131"/>
      <c r="AB146" s="131"/>
      <c r="AC146" s="131"/>
    </row>
    <row r="147" spans="2:29" x14ac:dyDescent="0.2">
      <c r="B147" s="151"/>
      <c r="C147" s="152"/>
      <c r="H147" s="340"/>
      <c r="L147" s="131"/>
      <c r="M147" s="131"/>
      <c r="N147" s="131"/>
      <c r="O147" s="131"/>
      <c r="P147" s="131"/>
      <c r="Q147" s="131"/>
      <c r="R147" s="131"/>
      <c r="S147" s="131"/>
      <c r="T147" s="131"/>
      <c r="U147" s="131"/>
      <c r="V147" s="131"/>
      <c r="W147" s="131"/>
      <c r="X147" s="131"/>
      <c r="Y147" s="131"/>
      <c r="Z147" s="131"/>
      <c r="AA147" s="131"/>
      <c r="AB147" s="131"/>
      <c r="AC147" s="131"/>
    </row>
    <row r="148" spans="2:29" x14ac:dyDescent="0.2">
      <c r="B148" s="151"/>
      <c r="C148" s="152"/>
      <c r="H148" s="340"/>
      <c r="L148" s="131"/>
      <c r="M148" s="131"/>
      <c r="N148" s="131"/>
      <c r="O148" s="131"/>
      <c r="P148" s="131"/>
      <c r="Q148" s="131"/>
      <c r="R148" s="131"/>
      <c r="S148" s="131"/>
      <c r="T148" s="131"/>
      <c r="U148" s="131"/>
      <c r="V148" s="131"/>
      <c r="W148" s="131"/>
      <c r="X148" s="131"/>
      <c r="Y148" s="131"/>
      <c r="Z148" s="131"/>
      <c r="AA148" s="131"/>
      <c r="AB148" s="131"/>
      <c r="AC148" s="131"/>
    </row>
    <row r="149" spans="2:29" x14ac:dyDescent="0.2">
      <c r="B149" s="151"/>
      <c r="C149" s="152"/>
      <c r="H149" s="340"/>
      <c r="L149" s="131"/>
      <c r="M149" s="131"/>
      <c r="N149" s="131"/>
      <c r="O149" s="131"/>
      <c r="P149" s="131"/>
      <c r="Q149" s="131"/>
      <c r="R149" s="131"/>
      <c r="S149" s="131"/>
      <c r="T149" s="131"/>
      <c r="U149" s="131"/>
      <c r="V149" s="131"/>
      <c r="W149" s="131"/>
      <c r="X149" s="131"/>
      <c r="Y149" s="131"/>
      <c r="Z149" s="131"/>
      <c r="AA149" s="131"/>
      <c r="AB149" s="131"/>
      <c r="AC149" s="131"/>
    </row>
    <row r="150" spans="2:29" x14ac:dyDescent="0.2">
      <c r="B150" s="151"/>
      <c r="C150" s="152"/>
      <c r="H150" s="340"/>
      <c r="L150" s="131"/>
      <c r="M150" s="131"/>
      <c r="N150" s="131"/>
      <c r="O150" s="131"/>
      <c r="P150" s="131"/>
      <c r="Q150" s="131"/>
      <c r="R150" s="131"/>
      <c r="S150" s="131"/>
      <c r="T150" s="131"/>
      <c r="U150" s="131"/>
      <c r="V150" s="131"/>
      <c r="W150" s="131"/>
      <c r="X150" s="131"/>
      <c r="Y150" s="131"/>
      <c r="Z150" s="131"/>
      <c r="AA150" s="131"/>
      <c r="AB150" s="131"/>
      <c r="AC150" s="131"/>
    </row>
    <row r="151" spans="2:29" x14ac:dyDescent="0.2">
      <c r="B151" s="151"/>
      <c r="C151" s="152"/>
      <c r="H151" s="340"/>
      <c r="L151" s="131"/>
      <c r="M151" s="131"/>
      <c r="N151" s="131"/>
      <c r="O151" s="131"/>
      <c r="P151" s="131"/>
      <c r="Q151" s="131"/>
      <c r="R151" s="131"/>
      <c r="S151" s="131"/>
      <c r="T151" s="131"/>
      <c r="U151" s="131"/>
      <c r="V151" s="131"/>
      <c r="W151" s="131"/>
      <c r="X151" s="131"/>
      <c r="Y151" s="131"/>
      <c r="Z151" s="131"/>
      <c r="AA151" s="131"/>
      <c r="AB151" s="131"/>
      <c r="AC151" s="131"/>
    </row>
    <row r="152" spans="2:29" x14ac:dyDescent="0.2">
      <c r="B152" s="151"/>
      <c r="C152" s="152"/>
      <c r="H152" s="340"/>
      <c r="L152" s="131"/>
      <c r="M152" s="131"/>
      <c r="N152" s="131"/>
      <c r="O152" s="131"/>
      <c r="P152" s="131"/>
      <c r="Q152" s="131"/>
      <c r="R152" s="131"/>
      <c r="S152" s="131"/>
      <c r="T152" s="131"/>
      <c r="U152" s="131"/>
      <c r="V152" s="131"/>
      <c r="W152" s="131"/>
      <c r="X152" s="131"/>
      <c r="Y152" s="131"/>
      <c r="Z152" s="131"/>
      <c r="AA152" s="131"/>
      <c r="AB152" s="131"/>
      <c r="AC152" s="131"/>
    </row>
    <row r="153" spans="2:29" x14ac:dyDescent="0.2">
      <c r="B153" s="151"/>
      <c r="C153" s="152"/>
      <c r="H153" s="340"/>
      <c r="L153" s="131"/>
      <c r="M153" s="131"/>
      <c r="N153" s="131"/>
      <c r="O153" s="131"/>
      <c r="P153" s="131"/>
      <c r="Q153" s="131"/>
      <c r="R153" s="131"/>
      <c r="S153" s="131"/>
      <c r="T153" s="131"/>
      <c r="U153" s="131"/>
      <c r="V153" s="131"/>
      <c r="W153" s="131"/>
      <c r="X153" s="131"/>
      <c r="Y153" s="131"/>
      <c r="Z153" s="131"/>
      <c r="AA153" s="131"/>
      <c r="AB153" s="131"/>
      <c r="AC153" s="131"/>
    </row>
    <row r="154" spans="2:29" x14ac:dyDescent="0.2">
      <c r="B154" s="151"/>
      <c r="C154" s="152"/>
      <c r="H154" s="340"/>
      <c r="L154" s="131"/>
      <c r="M154" s="131"/>
      <c r="N154" s="131"/>
      <c r="O154" s="131"/>
      <c r="P154" s="131"/>
      <c r="Q154" s="131"/>
      <c r="R154" s="131"/>
      <c r="S154" s="131"/>
      <c r="T154" s="131"/>
      <c r="U154" s="131"/>
      <c r="V154" s="131"/>
      <c r="W154" s="131"/>
      <c r="X154" s="131"/>
      <c r="Y154" s="131"/>
      <c r="Z154" s="131"/>
      <c r="AA154" s="131"/>
      <c r="AB154" s="131"/>
      <c r="AC154" s="131"/>
    </row>
    <row r="155" spans="2:29" x14ac:dyDescent="0.2">
      <c r="B155" s="151"/>
      <c r="C155" s="152"/>
      <c r="H155" s="340"/>
      <c r="L155" s="131"/>
      <c r="M155" s="131"/>
      <c r="N155" s="131"/>
      <c r="O155" s="131"/>
      <c r="P155" s="131"/>
      <c r="Q155" s="131"/>
      <c r="R155" s="131"/>
      <c r="S155" s="131"/>
      <c r="T155" s="131"/>
      <c r="U155" s="131"/>
      <c r="V155" s="131"/>
      <c r="W155" s="131"/>
      <c r="X155" s="131"/>
      <c r="Y155" s="131"/>
      <c r="Z155" s="131"/>
      <c r="AA155" s="131"/>
      <c r="AB155" s="131"/>
      <c r="AC155" s="131"/>
    </row>
    <row r="156" spans="2:29" x14ac:dyDescent="0.2">
      <c r="B156" s="151"/>
      <c r="C156" s="152"/>
      <c r="H156" s="340"/>
      <c r="L156" s="131"/>
      <c r="M156" s="131"/>
      <c r="N156" s="131"/>
      <c r="O156" s="131"/>
      <c r="P156" s="131"/>
      <c r="Q156" s="131"/>
      <c r="R156" s="131"/>
      <c r="S156" s="131"/>
      <c r="T156" s="131"/>
      <c r="U156" s="131"/>
      <c r="V156" s="131"/>
      <c r="W156" s="131"/>
      <c r="X156" s="131"/>
      <c r="Y156" s="131"/>
      <c r="Z156" s="131"/>
      <c r="AA156" s="131"/>
      <c r="AB156" s="131"/>
      <c r="AC156" s="131"/>
    </row>
    <row r="157" spans="2:29" x14ac:dyDescent="0.2">
      <c r="B157" s="151"/>
      <c r="C157" s="152"/>
      <c r="H157" s="340"/>
      <c r="L157" s="131"/>
      <c r="M157" s="131"/>
      <c r="N157" s="131"/>
      <c r="O157" s="131"/>
      <c r="P157" s="131"/>
      <c r="Q157" s="131"/>
      <c r="R157" s="131"/>
      <c r="S157" s="131"/>
      <c r="T157" s="131"/>
      <c r="U157" s="131"/>
      <c r="V157" s="131"/>
      <c r="W157" s="131"/>
      <c r="X157" s="131"/>
      <c r="Y157" s="131"/>
      <c r="Z157" s="131"/>
      <c r="AA157" s="131"/>
      <c r="AB157" s="131"/>
      <c r="AC157" s="131"/>
    </row>
    <row r="158" spans="2:29" x14ac:dyDescent="0.2">
      <c r="B158" s="151"/>
      <c r="C158" s="152"/>
      <c r="H158" s="340"/>
      <c r="L158" s="131"/>
      <c r="M158" s="131"/>
      <c r="N158" s="131"/>
      <c r="O158" s="131"/>
      <c r="P158" s="131"/>
      <c r="Q158" s="131"/>
      <c r="R158" s="131"/>
      <c r="S158" s="131"/>
      <c r="T158" s="131"/>
      <c r="U158" s="131"/>
      <c r="V158" s="131"/>
      <c r="W158" s="131"/>
      <c r="X158" s="131"/>
      <c r="Y158" s="131"/>
      <c r="Z158" s="131"/>
      <c r="AA158" s="131"/>
      <c r="AB158" s="131"/>
      <c r="AC158" s="131"/>
    </row>
    <row r="159" spans="2:29" x14ac:dyDescent="0.2">
      <c r="B159" s="151"/>
      <c r="C159" s="152"/>
      <c r="H159" s="340"/>
      <c r="L159" s="131"/>
      <c r="M159" s="131"/>
      <c r="N159" s="131"/>
      <c r="O159" s="131"/>
      <c r="P159" s="131"/>
      <c r="Q159" s="131"/>
      <c r="R159" s="131"/>
      <c r="S159" s="131"/>
      <c r="T159" s="131"/>
      <c r="U159" s="131"/>
      <c r="V159" s="131"/>
      <c r="W159" s="131"/>
      <c r="X159" s="131"/>
      <c r="Y159" s="131"/>
      <c r="Z159" s="131"/>
      <c r="AA159" s="131"/>
      <c r="AB159" s="131"/>
      <c r="AC159" s="131"/>
    </row>
    <row r="160" spans="2:29" x14ac:dyDescent="0.2">
      <c r="B160" s="151"/>
      <c r="C160" s="152"/>
      <c r="H160" s="340"/>
      <c r="L160" s="131"/>
      <c r="M160" s="131"/>
      <c r="N160" s="131"/>
      <c r="O160" s="131"/>
      <c r="P160" s="131"/>
      <c r="Q160" s="131"/>
      <c r="R160" s="131"/>
      <c r="S160" s="131"/>
      <c r="T160" s="131"/>
      <c r="U160" s="131"/>
      <c r="V160" s="131"/>
      <c r="W160" s="131"/>
      <c r="X160" s="131"/>
      <c r="Y160" s="131"/>
      <c r="Z160" s="131"/>
      <c r="AA160" s="131"/>
      <c r="AB160" s="131"/>
      <c r="AC160" s="131"/>
    </row>
    <row r="161" spans="2:29" x14ac:dyDescent="0.2">
      <c r="B161" s="151"/>
      <c r="C161" s="152"/>
      <c r="H161" s="340"/>
      <c r="L161" s="131"/>
      <c r="M161" s="131"/>
      <c r="N161" s="131"/>
      <c r="O161" s="131"/>
      <c r="P161" s="131"/>
      <c r="Q161" s="131"/>
      <c r="R161" s="131"/>
      <c r="S161" s="131"/>
      <c r="T161" s="131"/>
      <c r="U161" s="131"/>
      <c r="V161" s="131"/>
      <c r="W161" s="131"/>
      <c r="X161" s="131"/>
      <c r="Y161" s="131"/>
      <c r="Z161" s="131"/>
      <c r="AA161" s="131"/>
      <c r="AB161" s="131"/>
      <c r="AC161" s="131"/>
    </row>
    <row r="162" spans="2:29" x14ac:dyDescent="0.2">
      <c r="B162" s="151"/>
      <c r="C162" s="152"/>
      <c r="H162" s="340"/>
      <c r="L162" s="131"/>
      <c r="M162" s="131"/>
      <c r="N162" s="131"/>
      <c r="O162" s="131"/>
      <c r="P162" s="131"/>
      <c r="Q162" s="131"/>
      <c r="R162" s="131"/>
      <c r="S162" s="131"/>
      <c r="T162" s="131"/>
      <c r="U162" s="131"/>
      <c r="V162" s="131"/>
      <c r="W162" s="131"/>
      <c r="X162" s="131"/>
      <c r="Y162" s="131"/>
      <c r="Z162" s="131"/>
      <c r="AA162" s="131"/>
      <c r="AB162" s="131"/>
      <c r="AC162" s="131"/>
    </row>
    <row r="163" spans="2:29" x14ac:dyDescent="0.2">
      <c r="B163" s="151"/>
      <c r="C163" s="152"/>
      <c r="H163" s="340"/>
      <c r="L163" s="131"/>
      <c r="M163" s="131"/>
      <c r="N163" s="131"/>
      <c r="O163" s="131"/>
      <c r="P163" s="131"/>
      <c r="Q163" s="131"/>
      <c r="R163" s="131"/>
      <c r="S163" s="131"/>
      <c r="T163" s="131"/>
      <c r="U163" s="131"/>
      <c r="V163" s="131"/>
      <c r="W163" s="131"/>
      <c r="X163" s="131"/>
      <c r="Y163" s="131"/>
      <c r="Z163" s="131"/>
      <c r="AA163" s="131"/>
      <c r="AB163" s="131"/>
      <c r="AC163" s="131"/>
    </row>
    <row r="164" spans="2:29" x14ac:dyDescent="0.2">
      <c r="B164" s="151"/>
      <c r="C164" s="152"/>
      <c r="H164" s="340"/>
      <c r="L164" s="131"/>
      <c r="M164" s="131"/>
      <c r="N164" s="131"/>
      <c r="O164" s="131"/>
      <c r="P164" s="131"/>
      <c r="Q164" s="131"/>
      <c r="R164" s="131"/>
      <c r="S164" s="131"/>
      <c r="T164" s="131"/>
      <c r="U164" s="131"/>
      <c r="V164" s="131"/>
      <c r="W164" s="131"/>
      <c r="X164" s="131"/>
      <c r="Y164" s="131"/>
      <c r="Z164" s="131"/>
      <c r="AA164" s="131"/>
      <c r="AB164" s="131"/>
      <c r="AC164" s="131"/>
    </row>
    <row r="165" spans="2:29" x14ac:dyDescent="0.2">
      <c r="B165" s="151"/>
      <c r="C165" s="152"/>
      <c r="H165" s="340"/>
      <c r="L165" s="131"/>
      <c r="M165" s="131"/>
      <c r="N165" s="131"/>
      <c r="O165" s="131"/>
      <c r="P165" s="131"/>
      <c r="Q165" s="131"/>
      <c r="R165" s="131"/>
      <c r="S165" s="131"/>
      <c r="T165" s="131"/>
      <c r="U165" s="131"/>
      <c r="V165" s="131"/>
      <c r="W165" s="131"/>
      <c r="X165" s="131"/>
      <c r="Y165" s="131"/>
      <c r="Z165" s="131"/>
      <c r="AA165" s="131"/>
      <c r="AB165" s="131"/>
      <c r="AC165" s="131"/>
    </row>
    <row r="166" spans="2:29" x14ac:dyDescent="0.2">
      <c r="B166" s="151"/>
      <c r="C166" s="152"/>
      <c r="H166" s="340"/>
      <c r="L166" s="131"/>
      <c r="M166" s="131"/>
      <c r="N166" s="131"/>
      <c r="O166" s="131"/>
      <c r="P166" s="131"/>
      <c r="Q166" s="131"/>
      <c r="R166" s="131"/>
      <c r="S166" s="131"/>
      <c r="T166" s="131"/>
      <c r="U166" s="131"/>
      <c r="V166" s="131"/>
      <c r="W166" s="131"/>
      <c r="X166" s="131"/>
      <c r="Y166" s="131"/>
      <c r="Z166" s="131"/>
      <c r="AA166" s="131"/>
      <c r="AB166" s="131"/>
      <c r="AC166" s="131"/>
    </row>
    <row r="167" spans="2:29" x14ac:dyDescent="0.2">
      <c r="B167" s="151"/>
      <c r="C167" s="152"/>
      <c r="H167" s="340"/>
      <c r="L167" s="131"/>
      <c r="M167" s="131"/>
      <c r="N167" s="131"/>
      <c r="O167" s="131"/>
      <c r="P167" s="131"/>
      <c r="Q167" s="131"/>
      <c r="R167" s="131"/>
      <c r="S167" s="131"/>
      <c r="T167" s="131"/>
      <c r="U167" s="131"/>
      <c r="V167" s="131"/>
      <c r="W167" s="131"/>
      <c r="X167" s="131"/>
      <c r="Y167" s="131"/>
      <c r="Z167" s="131"/>
      <c r="AA167" s="131"/>
      <c r="AB167" s="131"/>
      <c r="AC167" s="131"/>
    </row>
    <row r="168" spans="2:29" x14ac:dyDescent="0.2">
      <c r="B168" s="151"/>
      <c r="C168" s="152"/>
      <c r="H168" s="340"/>
      <c r="L168" s="131"/>
      <c r="M168" s="131"/>
      <c r="N168" s="131"/>
      <c r="O168" s="131"/>
      <c r="P168" s="131"/>
      <c r="Q168" s="131"/>
      <c r="R168" s="131"/>
      <c r="S168" s="131"/>
      <c r="T168" s="131"/>
      <c r="U168" s="131"/>
      <c r="V168" s="131"/>
      <c r="W168" s="131"/>
      <c r="X168" s="131"/>
      <c r="Y168" s="131"/>
      <c r="Z168" s="131"/>
      <c r="AA168" s="131"/>
      <c r="AB168" s="131"/>
      <c r="AC168" s="131"/>
    </row>
    <row r="169" spans="2:29" x14ac:dyDescent="0.2">
      <c r="B169" s="151"/>
      <c r="C169" s="152"/>
      <c r="H169" s="340"/>
      <c r="L169" s="131"/>
      <c r="M169" s="131"/>
      <c r="N169" s="131"/>
      <c r="O169" s="131"/>
      <c r="P169" s="131"/>
      <c r="Q169" s="131"/>
      <c r="R169" s="131"/>
      <c r="S169" s="131"/>
      <c r="T169" s="131"/>
      <c r="U169" s="131"/>
      <c r="V169" s="131"/>
      <c r="W169" s="131"/>
      <c r="X169" s="131"/>
      <c r="Y169" s="131"/>
      <c r="Z169" s="131"/>
      <c r="AA169" s="131"/>
      <c r="AB169" s="131"/>
      <c r="AC169" s="131"/>
    </row>
    <row r="170" spans="2:29" x14ac:dyDescent="0.2">
      <c r="B170" s="151"/>
      <c r="C170" s="152"/>
      <c r="H170" s="340"/>
      <c r="L170" s="131"/>
      <c r="M170" s="131"/>
      <c r="N170" s="131"/>
      <c r="O170" s="131"/>
      <c r="P170" s="131"/>
      <c r="Q170" s="131"/>
      <c r="R170" s="131"/>
      <c r="S170" s="131"/>
      <c r="T170" s="131"/>
      <c r="U170" s="131"/>
      <c r="V170" s="131"/>
      <c r="W170" s="131"/>
      <c r="X170" s="131"/>
      <c r="Y170" s="131"/>
      <c r="Z170" s="131"/>
      <c r="AA170" s="131"/>
      <c r="AB170" s="131"/>
      <c r="AC170" s="131"/>
    </row>
    <row r="171" spans="2:29" x14ac:dyDescent="0.2">
      <c r="B171" s="151"/>
      <c r="C171" s="152"/>
      <c r="H171" s="340"/>
      <c r="L171" s="131"/>
      <c r="M171" s="131"/>
      <c r="N171" s="131"/>
      <c r="O171" s="131"/>
      <c r="P171" s="131"/>
      <c r="Q171" s="131"/>
      <c r="R171" s="131"/>
      <c r="S171" s="131"/>
      <c r="T171" s="131"/>
      <c r="U171" s="131"/>
      <c r="V171" s="131"/>
      <c r="W171" s="131"/>
      <c r="X171" s="131"/>
      <c r="Y171" s="131"/>
      <c r="Z171" s="131"/>
      <c r="AA171" s="131"/>
      <c r="AB171" s="131"/>
      <c r="AC171" s="131"/>
    </row>
    <row r="172" spans="2:29" x14ac:dyDescent="0.2">
      <c r="B172" s="151"/>
      <c r="C172" s="152"/>
      <c r="H172" s="340"/>
      <c r="L172" s="131"/>
      <c r="M172" s="131"/>
      <c r="N172" s="131"/>
      <c r="O172" s="131"/>
      <c r="P172" s="131"/>
      <c r="Q172" s="131"/>
      <c r="R172" s="131"/>
      <c r="S172" s="131"/>
      <c r="T172" s="131"/>
      <c r="U172" s="131"/>
      <c r="V172" s="131"/>
      <c r="W172" s="131"/>
      <c r="X172" s="131"/>
      <c r="Y172" s="131"/>
      <c r="Z172" s="131"/>
      <c r="AA172" s="131"/>
      <c r="AB172" s="131"/>
      <c r="AC172" s="131"/>
    </row>
    <row r="173" spans="2:29" x14ac:dyDescent="0.2">
      <c r="B173" s="151"/>
      <c r="C173" s="152"/>
      <c r="H173" s="340"/>
      <c r="L173" s="131"/>
      <c r="M173" s="131"/>
      <c r="N173" s="131"/>
      <c r="O173" s="131"/>
      <c r="P173" s="131"/>
      <c r="Q173" s="131"/>
      <c r="R173" s="131"/>
      <c r="S173" s="131"/>
      <c r="T173" s="131"/>
      <c r="U173" s="131"/>
      <c r="V173" s="131"/>
      <c r="W173" s="131"/>
      <c r="X173" s="131"/>
      <c r="Y173" s="131"/>
      <c r="Z173" s="131"/>
      <c r="AA173" s="131"/>
      <c r="AB173" s="131"/>
      <c r="AC173" s="131"/>
    </row>
    <row r="174" spans="2:29" x14ac:dyDescent="0.2">
      <c r="B174" s="151"/>
      <c r="C174" s="152"/>
      <c r="H174" s="340"/>
      <c r="L174" s="131"/>
      <c r="M174" s="131"/>
      <c r="N174" s="131"/>
      <c r="O174" s="131"/>
      <c r="P174" s="131"/>
      <c r="Q174" s="131"/>
      <c r="R174" s="131"/>
      <c r="S174" s="131"/>
      <c r="T174" s="131"/>
      <c r="U174" s="131"/>
      <c r="V174" s="131"/>
      <c r="W174" s="131"/>
      <c r="X174" s="131"/>
      <c r="Y174" s="131"/>
      <c r="Z174" s="131"/>
      <c r="AA174" s="131"/>
      <c r="AB174" s="131"/>
      <c r="AC174" s="131"/>
    </row>
    <row r="175" spans="2:29" x14ac:dyDescent="0.2">
      <c r="B175" s="151"/>
      <c r="C175" s="152"/>
      <c r="H175" s="340"/>
      <c r="L175" s="131"/>
      <c r="M175" s="131"/>
      <c r="N175" s="131"/>
      <c r="O175" s="131"/>
      <c r="P175" s="131"/>
      <c r="Q175" s="131"/>
      <c r="R175" s="131"/>
      <c r="S175" s="131"/>
      <c r="T175" s="131"/>
      <c r="U175" s="131"/>
      <c r="V175" s="131"/>
      <c r="W175" s="131"/>
      <c r="X175" s="131"/>
      <c r="Y175" s="131"/>
      <c r="Z175" s="131"/>
      <c r="AA175" s="131"/>
      <c r="AB175" s="131"/>
      <c r="AC175" s="131"/>
    </row>
    <row r="176" spans="2:29" x14ac:dyDescent="0.2">
      <c r="B176" s="151"/>
      <c r="C176" s="152"/>
      <c r="H176" s="340"/>
      <c r="L176" s="131"/>
      <c r="M176" s="131"/>
      <c r="N176" s="131"/>
      <c r="O176" s="131"/>
      <c r="P176" s="131"/>
      <c r="Q176" s="131"/>
      <c r="R176" s="131"/>
      <c r="S176" s="131"/>
      <c r="T176" s="131"/>
      <c r="U176" s="131"/>
      <c r="V176" s="131"/>
      <c r="W176" s="131"/>
      <c r="X176" s="131"/>
      <c r="Y176" s="131"/>
      <c r="Z176" s="131"/>
      <c r="AA176" s="131"/>
      <c r="AB176" s="131"/>
      <c r="AC176" s="131"/>
    </row>
    <row r="177" spans="2:29" x14ac:dyDescent="0.2">
      <c r="B177" s="151"/>
      <c r="C177" s="152"/>
      <c r="H177" s="340"/>
      <c r="L177" s="131"/>
      <c r="M177" s="131"/>
      <c r="N177" s="131"/>
      <c r="O177" s="131"/>
      <c r="P177" s="131"/>
      <c r="Q177" s="131"/>
      <c r="R177" s="131"/>
      <c r="S177" s="131"/>
      <c r="T177" s="131"/>
      <c r="U177" s="131"/>
      <c r="V177" s="131"/>
      <c r="W177" s="131"/>
      <c r="X177" s="131"/>
      <c r="Y177" s="131"/>
      <c r="Z177" s="131"/>
      <c r="AA177" s="131"/>
      <c r="AB177" s="131"/>
      <c r="AC177" s="131"/>
    </row>
    <row r="178" spans="2:29" x14ac:dyDescent="0.2">
      <c r="B178" s="151"/>
      <c r="C178" s="152"/>
      <c r="H178" s="340"/>
      <c r="L178" s="131"/>
      <c r="M178" s="131"/>
      <c r="N178" s="131"/>
      <c r="O178" s="131"/>
      <c r="P178" s="131"/>
      <c r="Q178" s="131"/>
      <c r="R178" s="131"/>
      <c r="S178" s="131"/>
      <c r="T178" s="131"/>
      <c r="U178" s="131"/>
      <c r="V178" s="131"/>
      <c r="W178" s="131"/>
      <c r="X178" s="131"/>
      <c r="Y178" s="131"/>
      <c r="Z178" s="131"/>
      <c r="AA178" s="131"/>
      <c r="AB178" s="131"/>
      <c r="AC178" s="131"/>
    </row>
    <row r="179" spans="2:29" x14ac:dyDescent="0.2">
      <c r="B179" s="151"/>
      <c r="C179" s="152"/>
      <c r="H179" s="340"/>
      <c r="L179" s="131"/>
      <c r="M179" s="131"/>
      <c r="N179" s="131"/>
      <c r="O179" s="131"/>
      <c r="P179" s="131"/>
      <c r="Q179" s="131"/>
      <c r="R179" s="131"/>
      <c r="S179" s="131"/>
      <c r="T179" s="131"/>
      <c r="U179" s="131"/>
      <c r="V179" s="131"/>
      <c r="W179" s="131"/>
      <c r="X179" s="131"/>
      <c r="Y179" s="131"/>
      <c r="Z179" s="131"/>
      <c r="AA179" s="131"/>
      <c r="AB179" s="131"/>
      <c r="AC179" s="131"/>
    </row>
    <row r="180" spans="2:29" x14ac:dyDescent="0.2">
      <c r="B180" s="151"/>
      <c r="C180" s="152"/>
      <c r="H180" s="340"/>
      <c r="L180" s="131"/>
      <c r="M180" s="131"/>
      <c r="N180" s="131"/>
      <c r="O180" s="131"/>
      <c r="P180" s="131"/>
      <c r="Q180" s="131"/>
      <c r="R180" s="131"/>
      <c r="S180" s="131"/>
      <c r="T180" s="131"/>
      <c r="U180" s="131"/>
      <c r="V180" s="131"/>
      <c r="W180" s="131"/>
      <c r="X180" s="131"/>
      <c r="Y180" s="131"/>
      <c r="Z180" s="131"/>
      <c r="AA180" s="131"/>
      <c r="AB180" s="131"/>
      <c r="AC180" s="131"/>
    </row>
    <row r="181" spans="2:29" x14ac:dyDescent="0.2">
      <c r="B181" s="151"/>
      <c r="C181" s="152"/>
      <c r="H181" s="340"/>
      <c r="L181" s="131"/>
      <c r="M181" s="131"/>
      <c r="N181" s="131"/>
      <c r="O181" s="131"/>
      <c r="P181" s="131"/>
      <c r="Q181" s="131"/>
      <c r="R181" s="131"/>
      <c r="S181" s="131"/>
      <c r="T181" s="131"/>
      <c r="U181" s="131"/>
      <c r="V181" s="131"/>
      <c r="W181" s="131"/>
      <c r="X181" s="131"/>
      <c r="Y181" s="131"/>
      <c r="Z181" s="131"/>
      <c r="AA181" s="131"/>
      <c r="AB181" s="131"/>
      <c r="AC181" s="131"/>
    </row>
    <row r="182" spans="2:29" x14ac:dyDescent="0.2">
      <c r="B182" s="151"/>
      <c r="C182" s="152"/>
      <c r="H182" s="340"/>
      <c r="L182" s="131"/>
      <c r="M182" s="131"/>
      <c r="N182" s="131"/>
      <c r="O182" s="131"/>
      <c r="P182" s="131"/>
      <c r="Q182" s="131"/>
      <c r="R182" s="131"/>
      <c r="S182" s="131"/>
      <c r="T182" s="131"/>
      <c r="U182" s="131"/>
      <c r="V182" s="131"/>
      <c r="W182" s="131"/>
      <c r="X182" s="131"/>
      <c r="Y182" s="131"/>
      <c r="Z182" s="131"/>
      <c r="AA182" s="131"/>
      <c r="AB182" s="131"/>
      <c r="AC182" s="131"/>
    </row>
    <row r="183" spans="2:29" x14ac:dyDescent="0.2">
      <c r="B183" s="151"/>
      <c r="C183" s="152"/>
      <c r="H183" s="340"/>
      <c r="L183" s="131"/>
      <c r="M183" s="131"/>
      <c r="N183" s="131"/>
      <c r="O183" s="131"/>
      <c r="P183" s="131"/>
      <c r="Q183" s="131"/>
      <c r="R183" s="131"/>
      <c r="S183" s="131"/>
      <c r="T183" s="131"/>
      <c r="U183" s="131"/>
      <c r="V183" s="131"/>
      <c r="W183" s="131"/>
      <c r="X183" s="131"/>
      <c r="Y183" s="131"/>
      <c r="Z183" s="131"/>
      <c r="AA183" s="131"/>
      <c r="AB183" s="131"/>
      <c r="AC183" s="131"/>
    </row>
    <row r="184" spans="2:29" x14ac:dyDescent="0.2">
      <c r="B184" s="151"/>
      <c r="C184" s="152"/>
      <c r="H184" s="340"/>
      <c r="L184" s="131"/>
      <c r="M184" s="131"/>
      <c r="N184" s="131"/>
      <c r="O184" s="131"/>
      <c r="P184" s="131"/>
      <c r="Q184" s="131"/>
      <c r="R184" s="131"/>
      <c r="S184" s="131"/>
      <c r="T184" s="131"/>
      <c r="U184" s="131"/>
      <c r="V184" s="131"/>
      <c r="W184" s="131"/>
      <c r="X184" s="131"/>
      <c r="Y184" s="131"/>
      <c r="Z184" s="131"/>
      <c r="AA184" s="131"/>
      <c r="AB184" s="131"/>
      <c r="AC184" s="131"/>
    </row>
    <row r="185" spans="2:29" x14ac:dyDescent="0.2">
      <c r="B185" s="151"/>
      <c r="C185" s="152"/>
      <c r="H185" s="340"/>
      <c r="L185" s="131"/>
      <c r="M185" s="131"/>
      <c r="N185" s="131"/>
      <c r="O185" s="131"/>
      <c r="P185" s="131"/>
      <c r="Q185" s="131"/>
      <c r="R185" s="131"/>
      <c r="S185" s="131"/>
      <c r="T185" s="131"/>
      <c r="U185" s="131"/>
      <c r="V185" s="131"/>
      <c r="W185" s="131"/>
      <c r="X185" s="131"/>
      <c r="Y185" s="131"/>
      <c r="Z185" s="131"/>
      <c r="AA185" s="131"/>
      <c r="AB185" s="131"/>
      <c r="AC185" s="131"/>
    </row>
    <row r="186" spans="2:29" x14ac:dyDescent="0.2">
      <c r="B186" s="151"/>
      <c r="C186" s="152"/>
      <c r="H186" s="340"/>
      <c r="L186" s="131"/>
      <c r="M186" s="131"/>
      <c r="N186" s="131"/>
      <c r="O186" s="131"/>
      <c r="P186" s="131"/>
      <c r="Q186" s="131"/>
      <c r="R186" s="131"/>
      <c r="S186" s="131"/>
      <c r="T186" s="131"/>
      <c r="U186" s="131"/>
      <c r="V186" s="131"/>
      <c r="W186" s="131"/>
      <c r="X186" s="131"/>
      <c r="Y186" s="131"/>
      <c r="Z186" s="131"/>
      <c r="AA186" s="131"/>
      <c r="AB186" s="131"/>
      <c r="AC186" s="131"/>
    </row>
    <row r="187" spans="2:29" x14ac:dyDescent="0.2">
      <c r="B187" s="151"/>
      <c r="C187" s="152"/>
      <c r="H187" s="340"/>
      <c r="L187" s="131"/>
      <c r="M187" s="131"/>
      <c r="N187" s="131"/>
      <c r="O187" s="131"/>
      <c r="P187" s="131"/>
      <c r="Q187" s="131"/>
      <c r="R187" s="131"/>
      <c r="S187" s="131"/>
      <c r="T187" s="131"/>
      <c r="U187" s="131"/>
      <c r="V187" s="131"/>
      <c r="W187" s="131"/>
      <c r="X187" s="131"/>
      <c r="Y187" s="131"/>
      <c r="Z187" s="131"/>
      <c r="AA187" s="131"/>
      <c r="AB187" s="131"/>
      <c r="AC187" s="131"/>
    </row>
    <row r="188" spans="2:29" x14ac:dyDescent="0.2">
      <c r="B188" s="151"/>
      <c r="C188" s="152"/>
      <c r="H188" s="340"/>
      <c r="L188" s="131"/>
      <c r="M188" s="131"/>
      <c r="N188" s="131"/>
      <c r="O188" s="131"/>
      <c r="P188" s="131"/>
      <c r="Q188" s="131"/>
      <c r="R188" s="131"/>
      <c r="S188" s="131"/>
      <c r="T188" s="131"/>
      <c r="U188" s="131"/>
      <c r="V188" s="131"/>
      <c r="W188" s="131"/>
      <c r="X188" s="131"/>
      <c r="Y188" s="131"/>
      <c r="Z188" s="131"/>
      <c r="AA188" s="131"/>
      <c r="AB188" s="131"/>
      <c r="AC188" s="131"/>
    </row>
    <row r="189" spans="2:29" x14ac:dyDescent="0.2">
      <c r="B189" s="151"/>
      <c r="C189" s="152"/>
      <c r="H189" s="340"/>
      <c r="L189" s="131"/>
      <c r="M189" s="131"/>
      <c r="N189" s="131"/>
      <c r="O189" s="131"/>
      <c r="P189" s="131"/>
      <c r="Q189" s="131"/>
      <c r="R189" s="131"/>
      <c r="S189" s="131"/>
      <c r="T189" s="131"/>
      <c r="U189" s="131"/>
      <c r="V189" s="131"/>
      <c r="W189" s="131"/>
      <c r="X189" s="131"/>
      <c r="Y189" s="131"/>
      <c r="Z189" s="131"/>
      <c r="AA189" s="131"/>
      <c r="AB189" s="131"/>
      <c r="AC189" s="131"/>
    </row>
    <row r="190" spans="2:29" x14ac:dyDescent="0.2">
      <c r="B190" s="151"/>
      <c r="C190" s="152"/>
      <c r="H190" s="340"/>
      <c r="L190" s="131"/>
      <c r="M190" s="131"/>
      <c r="N190" s="131"/>
      <c r="O190" s="131"/>
      <c r="P190" s="131"/>
      <c r="Q190" s="131"/>
      <c r="R190" s="131"/>
      <c r="S190" s="131"/>
      <c r="T190" s="131"/>
      <c r="U190" s="131"/>
      <c r="V190" s="131"/>
      <c r="W190" s="131"/>
      <c r="X190" s="131"/>
      <c r="Y190" s="131"/>
      <c r="Z190" s="131"/>
      <c r="AA190" s="131"/>
      <c r="AB190" s="131"/>
      <c r="AC190" s="131"/>
    </row>
    <row r="191" spans="2:29" x14ac:dyDescent="0.2">
      <c r="B191" s="151"/>
      <c r="C191" s="152"/>
      <c r="H191" s="340"/>
      <c r="L191" s="131"/>
      <c r="M191" s="131"/>
      <c r="N191" s="131"/>
      <c r="O191" s="131"/>
      <c r="P191" s="131"/>
      <c r="Q191" s="131"/>
      <c r="R191" s="131"/>
      <c r="S191" s="131"/>
      <c r="T191" s="131"/>
      <c r="U191" s="131"/>
      <c r="V191" s="131"/>
      <c r="W191" s="131"/>
      <c r="X191" s="131"/>
      <c r="Y191" s="131"/>
      <c r="Z191" s="131"/>
      <c r="AA191" s="131"/>
      <c r="AB191" s="131"/>
      <c r="AC191" s="131"/>
    </row>
    <row r="192" spans="2:29" x14ac:dyDescent="0.2">
      <c r="B192" s="151"/>
      <c r="C192" s="152"/>
      <c r="H192" s="340"/>
      <c r="L192" s="131"/>
      <c r="M192" s="131"/>
      <c r="N192" s="131"/>
      <c r="O192" s="131"/>
      <c r="P192" s="131"/>
      <c r="Q192" s="131"/>
      <c r="R192" s="131"/>
      <c r="S192" s="131"/>
      <c r="T192" s="131"/>
      <c r="U192" s="131"/>
      <c r="V192" s="131"/>
      <c r="W192" s="131"/>
      <c r="X192" s="131"/>
      <c r="Y192" s="131"/>
      <c r="Z192" s="131"/>
      <c r="AA192" s="131"/>
      <c r="AB192" s="131"/>
      <c r="AC192" s="131"/>
    </row>
    <row r="193" spans="2:29" x14ac:dyDescent="0.2">
      <c r="B193" s="151"/>
      <c r="C193" s="152"/>
      <c r="H193" s="340"/>
      <c r="L193" s="131"/>
      <c r="M193" s="131"/>
      <c r="N193" s="131"/>
      <c r="O193" s="131"/>
      <c r="P193" s="131"/>
      <c r="Q193" s="131"/>
      <c r="R193" s="131"/>
      <c r="S193" s="131"/>
      <c r="T193" s="131"/>
      <c r="U193" s="131"/>
      <c r="V193" s="131"/>
      <c r="W193" s="131"/>
      <c r="X193" s="131"/>
      <c r="Y193" s="131"/>
      <c r="Z193" s="131"/>
      <c r="AA193" s="131"/>
      <c r="AB193" s="131"/>
      <c r="AC193" s="131"/>
    </row>
    <row r="194" spans="2:29" x14ac:dyDescent="0.2">
      <c r="B194" s="151"/>
      <c r="C194" s="152"/>
      <c r="H194" s="340"/>
      <c r="L194" s="131"/>
      <c r="M194" s="131"/>
      <c r="N194" s="131"/>
      <c r="O194" s="131"/>
      <c r="P194" s="131"/>
      <c r="Q194" s="131"/>
      <c r="R194" s="131"/>
      <c r="S194" s="131"/>
      <c r="T194" s="131"/>
      <c r="U194" s="131"/>
      <c r="V194" s="131"/>
      <c r="W194" s="131"/>
      <c r="X194" s="131"/>
      <c r="Y194" s="131"/>
      <c r="Z194" s="131"/>
      <c r="AA194" s="131"/>
      <c r="AB194" s="131"/>
      <c r="AC194" s="131"/>
    </row>
    <row r="195" spans="2:29" x14ac:dyDescent="0.2">
      <c r="B195" s="151"/>
      <c r="C195" s="152"/>
      <c r="H195" s="340"/>
      <c r="L195" s="131"/>
      <c r="M195" s="131"/>
      <c r="N195" s="131"/>
      <c r="O195" s="131"/>
      <c r="P195" s="131"/>
      <c r="Q195" s="131"/>
      <c r="R195" s="131"/>
      <c r="S195" s="131"/>
      <c r="T195" s="131"/>
      <c r="U195" s="131"/>
      <c r="V195" s="131"/>
      <c r="W195" s="131"/>
      <c r="X195" s="131"/>
      <c r="Y195" s="131"/>
      <c r="Z195" s="131"/>
      <c r="AA195" s="131"/>
      <c r="AB195" s="131"/>
      <c r="AC195" s="131"/>
    </row>
    <row r="196" spans="2:29" x14ac:dyDescent="0.2">
      <c r="B196" s="151"/>
      <c r="C196" s="152"/>
      <c r="H196" s="340"/>
      <c r="L196" s="131"/>
      <c r="M196" s="131"/>
      <c r="N196" s="131"/>
      <c r="O196" s="131"/>
      <c r="P196" s="131"/>
      <c r="Q196" s="131"/>
      <c r="R196" s="131"/>
      <c r="S196" s="131"/>
      <c r="T196" s="131"/>
      <c r="U196" s="131"/>
      <c r="V196" s="131"/>
      <c r="W196" s="131"/>
      <c r="X196" s="131"/>
      <c r="Y196" s="131"/>
      <c r="Z196" s="131"/>
      <c r="AA196" s="131"/>
      <c r="AB196" s="131"/>
      <c r="AC196" s="131"/>
    </row>
    <row r="197" spans="2:29" x14ac:dyDescent="0.2">
      <c r="B197" s="151"/>
      <c r="C197" s="152"/>
      <c r="H197" s="340"/>
      <c r="L197" s="131"/>
      <c r="M197" s="131"/>
      <c r="N197" s="131"/>
      <c r="O197" s="131"/>
      <c r="P197" s="131"/>
      <c r="Q197" s="131"/>
      <c r="R197" s="131"/>
      <c r="S197" s="131"/>
      <c r="T197" s="131"/>
      <c r="U197" s="131"/>
      <c r="V197" s="131"/>
      <c r="W197" s="131"/>
      <c r="X197" s="131"/>
      <c r="Y197" s="131"/>
      <c r="Z197" s="131"/>
      <c r="AA197" s="131"/>
      <c r="AB197" s="131"/>
      <c r="AC197" s="131"/>
    </row>
    <row r="198" spans="2:29" x14ac:dyDescent="0.2">
      <c r="B198" s="151"/>
      <c r="C198" s="152"/>
      <c r="H198" s="340"/>
      <c r="L198" s="131"/>
      <c r="M198" s="131"/>
      <c r="N198" s="131"/>
      <c r="O198" s="131"/>
      <c r="P198" s="131"/>
      <c r="Q198" s="131"/>
      <c r="R198" s="131"/>
      <c r="S198" s="131"/>
      <c r="T198" s="131"/>
      <c r="U198" s="131"/>
      <c r="V198" s="131"/>
      <c r="W198" s="131"/>
      <c r="X198" s="131"/>
      <c r="Y198" s="131"/>
      <c r="Z198" s="131"/>
      <c r="AA198" s="131"/>
      <c r="AB198" s="131"/>
      <c r="AC198" s="131"/>
    </row>
    <row r="199" spans="2:29" x14ac:dyDescent="0.2">
      <c r="B199" s="151"/>
      <c r="C199" s="152"/>
      <c r="H199" s="340"/>
      <c r="L199" s="131"/>
      <c r="M199" s="131"/>
      <c r="N199" s="131"/>
      <c r="O199" s="131"/>
      <c r="P199" s="131"/>
      <c r="Q199" s="131"/>
      <c r="R199" s="131"/>
      <c r="S199" s="131"/>
      <c r="T199" s="131"/>
      <c r="U199" s="131"/>
      <c r="V199" s="131"/>
      <c r="W199" s="131"/>
      <c r="X199" s="131"/>
      <c r="Y199" s="131"/>
      <c r="Z199" s="131"/>
      <c r="AA199" s="131"/>
      <c r="AB199" s="131"/>
      <c r="AC199" s="131"/>
    </row>
    <row r="200" spans="2:29" x14ac:dyDescent="0.2">
      <c r="B200" s="151"/>
      <c r="C200" s="152"/>
      <c r="H200" s="340"/>
      <c r="L200" s="131"/>
      <c r="M200" s="131"/>
      <c r="N200" s="131"/>
      <c r="O200" s="131"/>
      <c r="P200" s="131"/>
      <c r="Q200" s="131"/>
      <c r="R200" s="131"/>
      <c r="S200" s="131"/>
      <c r="T200" s="131"/>
      <c r="U200" s="131"/>
      <c r="V200" s="131"/>
      <c r="W200" s="131"/>
      <c r="X200" s="131"/>
      <c r="Y200" s="131"/>
      <c r="Z200" s="131"/>
      <c r="AA200" s="131"/>
      <c r="AB200" s="131"/>
      <c r="AC200" s="131"/>
    </row>
    <row r="201" spans="2:29" x14ac:dyDescent="0.2">
      <c r="B201" s="151"/>
      <c r="C201" s="152"/>
      <c r="H201" s="340"/>
      <c r="L201" s="131"/>
      <c r="M201" s="131"/>
      <c r="N201" s="131"/>
      <c r="O201" s="131"/>
      <c r="P201" s="131"/>
      <c r="Q201" s="131"/>
      <c r="R201" s="131"/>
      <c r="S201" s="131"/>
      <c r="T201" s="131"/>
      <c r="U201" s="131"/>
      <c r="V201" s="131"/>
      <c r="W201" s="131"/>
      <c r="X201" s="131"/>
      <c r="Y201" s="131"/>
      <c r="Z201" s="131"/>
      <c r="AA201" s="131"/>
      <c r="AB201" s="131"/>
      <c r="AC201" s="131"/>
    </row>
    <row r="202" spans="2:29" x14ac:dyDescent="0.2">
      <c r="B202" s="151"/>
      <c r="C202" s="152"/>
      <c r="H202" s="340"/>
      <c r="L202" s="131"/>
      <c r="M202" s="131"/>
      <c r="N202" s="131"/>
      <c r="O202" s="131"/>
      <c r="P202" s="131"/>
      <c r="Q202" s="131"/>
      <c r="R202" s="131"/>
      <c r="S202" s="131"/>
      <c r="T202" s="131"/>
      <c r="U202" s="131"/>
      <c r="V202" s="131"/>
      <c r="W202" s="131"/>
      <c r="X202" s="131"/>
      <c r="Y202" s="131"/>
      <c r="Z202" s="131"/>
      <c r="AA202" s="131"/>
      <c r="AB202" s="131"/>
      <c r="AC202" s="131"/>
    </row>
    <row r="203" spans="2:29" x14ac:dyDescent="0.2">
      <c r="B203" s="151"/>
      <c r="C203" s="152"/>
      <c r="H203" s="340"/>
      <c r="L203" s="131"/>
      <c r="M203" s="131"/>
      <c r="N203" s="131"/>
      <c r="O203" s="131"/>
      <c r="P203" s="131"/>
      <c r="Q203" s="131"/>
      <c r="R203" s="131"/>
      <c r="S203" s="131"/>
      <c r="T203" s="131"/>
      <c r="U203" s="131"/>
      <c r="V203" s="131"/>
      <c r="W203" s="131"/>
      <c r="X203" s="131"/>
      <c r="Y203" s="131"/>
      <c r="Z203" s="131"/>
      <c r="AA203" s="131"/>
      <c r="AB203" s="131"/>
      <c r="AC203" s="131"/>
    </row>
    <row r="204" spans="2:29" x14ac:dyDescent="0.2">
      <c r="B204" s="151"/>
      <c r="C204" s="152"/>
      <c r="H204" s="340"/>
      <c r="L204" s="131"/>
      <c r="M204" s="131"/>
      <c r="N204" s="131"/>
      <c r="O204" s="131"/>
      <c r="P204" s="131"/>
      <c r="Q204" s="131"/>
      <c r="R204" s="131"/>
      <c r="S204" s="131"/>
      <c r="T204" s="131"/>
      <c r="U204" s="131"/>
      <c r="V204" s="131"/>
      <c r="W204" s="131"/>
      <c r="X204" s="131"/>
      <c r="Y204" s="131"/>
      <c r="Z204" s="131"/>
      <c r="AA204" s="131"/>
      <c r="AB204" s="131"/>
      <c r="AC204" s="131"/>
    </row>
    <row r="205" spans="2:29" x14ac:dyDescent="0.2">
      <c r="B205" s="151"/>
      <c r="C205" s="152"/>
      <c r="H205" s="340"/>
      <c r="L205" s="131"/>
      <c r="M205" s="131"/>
      <c r="N205" s="131"/>
      <c r="O205" s="131"/>
      <c r="P205" s="131"/>
      <c r="Q205" s="131"/>
      <c r="R205" s="131"/>
      <c r="S205" s="131"/>
      <c r="T205" s="131"/>
      <c r="U205" s="131"/>
      <c r="V205" s="131"/>
      <c r="W205" s="131"/>
      <c r="X205" s="131"/>
      <c r="Y205" s="131"/>
      <c r="Z205" s="131"/>
      <c r="AA205" s="131"/>
      <c r="AB205" s="131"/>
      <c r="AC205" s="131"/>
    </row>
    <row r="206" spans="2:29" x14ac:dyDescent="0.2">
      <c r="B206" s="151"/>
      <c r="C206" s="152"/>
      <c r="H206" s="340"/>
      <c r="L206" s="131"/>
      <c r="M206" s="131"/>
      <c r="N206" s="131"/>
      <c r="O206" s="131"/>
      <c r="P206" s="131"/>
      <c r="Q206" s="131"/>
      <c r="R206" s="131"/>
      <c r="S206" s="131"/>
      <c r="T206" s="131"/>
      <c r="U206" s="131"/>
      <c r="V206" s="131"/>
      <c r="W206" s="131"/>
      <c r="X206" s="131"/>
      <c r="Y206" s="131"/>
      <c r="Z206" s="131"/>
      <c r="AA206" s="131"/>
      <c r="AB206" s="131"/>
      <c r="AC206" s="131"/>
    </row>
    <row r="207" spans="2:29" x14ac:dyDescent="0.2">
      <c r="B207" s="151"/>
      <c r="C207" s="152"/>
      <c r="H207" s="340"/>
      <c r="L207" s="131"/>
      <c r="M207" s="131"/>
      <c r="N207" s="131"/>
      <c r="O207" s="131"/>
      <c r="P207" s="131"/>
      <c r="Q207" s="131"/>
      <c r="R207" s="131"/>
      <c r="S207" s="131"/>
      <c r="T207" s="131"/>
      <c r="U207" s="131"/>
      <c r="V207" s="131"/>
      <c r="W207" s="131"/>
      <c r="X207" s="131"/>
      <c r="Y207" s="131"/>
      <c r="Z207" s="131"/>
      <c r="AA207" s="131"/>
      <c r="AB207" s="131"/>
      <c r="AC207" s="131"/>
    </row>
    <row r="208" spans="2:29" x14ac:dyDescent="0.2">
      <c r="B208" s="151"/>
      <c r="C208" s="152"/>
      <c r="H208" s="340"/>
      <c r="L208" s="131"/>
      <c r="M208" s="131"/>
      <c r="N208" s="131"/>
      <c r="O208" s="131"/>
      <c r="P208" s="131"/>
      <c r="Q208" s="131"/>
      <c r="R208" s="131"/>
      <c r="S208" s="131"/>
      <c r="T208" s="131"/>
      <c r="U208" s="131"/>
      <c r="V208" s="131"/>
      <c r="W208" s="131"/>
      <c r="X208" s="131"/>
      <c r="Y208" s="131"/>
      <c r="Z208" s="131"/>
      <c r="AA208" s="131"/>
      <c r="AB208" s="131"/>
      <c r="AC208" s="131"/>
    </row>
    <row r="209" spans="2:29" x14ac:dyDescent="0.2">
      <c r="B209" s="151"/>
      <c r="C209" s="152"/>
      <c r="H209" s="340"/>
      <c r="L209" s="131"/>
      <c r="M209" s="131"/>
      <c r="N209" s="131"/>
      <c r="O209" s="131"/>
      <c r="P209" s="131"/>
      <c r="Q209" s="131"/>
      <c r="R209" s="131"/>
      <c r="S209" s="131"/>
      <c r="T209" s="131"/>
      <c r="U209" s="131"/>
      <c r="V209" s="131"/>
      <c r="W209" s="131"/>
      <c r="X209" s="131"/>
      <c r="Y209" s="131"/>
      <c r="Z209" s="131"/>
      <c r="AA209" s="131"/>
      <c r="AB209" s="131"/>
      <c r="AC209" s="131"/>
    </row>
    <row r="210" spans="2:29" x14ac:dyDescent="0.2">
      <c r="B210" s="151"/>
      <c r="C210" s="152"/>
      <c r="H210" s="340"/>
      <c r="L210" s="131"/>
      <c r="M210" s="131"/>
      <c r="N210" s="131"/>
      <c r="O210" s="131"/>
      <c r="P210" s="131"/>
      <c r="Q210" s="131"/>
      <c r="R210" s="131"/>
      <c r="S210" s="131"/>
      <c r="T210" s="131"/>
      <c r="U210" s="131"/>
      <c r="V210" s="131"/>
      <c r="W210" s="131"/>
      <c r="X210" s="131"/>
      <c r="Y210" s="131"/>
      <c r="Z210" s="131"/>
      <c r="AA210" s="131"/>
      <c r="AB210" s="131"/>
      <c r="AC210" s="131"/>
    </row>
    <row r="211" spans="2:29" x14ac:dyDescent="0.2">
      <c r="B211" s="151"/>
      <c r="C211" s="152"/>
      <c r="H211" s="340"/>
      <c r="L211" s="131"/>
      <c r="M211" s="131"/>
      <c r="N211" s="131"/>
      <c r="O211" s="131"/>
      <c r="P211" s="131"/>
      <c r="Q211" s="131"/>
      <c r="R211" s="131"/>
      <c r="S211" s="131"/>
      <c r="T211" s="131"/>
      <c r="U211" s="131"/>
      <c r="V211" s="131"/>
      <c r="W211" s="131"/>
      <c r="X211" s="131"/>
      <c r="Y211" s="131"/>
      <c r="Z211" s="131"/>
      <c r="AA211" s="131"/>
      <c r="AB211" s="131"/>
      <c r="AC211" s="131"/>
    </row>
    <row r="212" spans="2:29" x14ac:dyDescent="0.2">
      <c r="B212" s="151"/>
      <c r="C212" s="152"/>
      <c r="H212" s="340"/>
      <c r="L212" s="131"/>
      <c r="M212" s="131"/>
      <c r="N212" s="131"/>
      <c r="O212" s="131"/>
      <c r="P212" s="131"/>
      <c r="Q212" s="131"/>
      <c r="R212" s="131"/>
      <c r="S212" s="131"/>
      <c r="T212" s="131"/>
      <c r="U212" s="131"/>
      <c r="V212" s="131"/>
      <c r="W212" s="131"/>
      <c r="X212" s="131"/>
      <c r="Y212" s="131"/>
      <c r="Z212" s="131"/>
      <c r="AA212" s="131"/>
      <c r="AB212" s="131"/>
      <c r="AC212" s="131"/>
    </row>
    <row r="213" spans="2:29" x14ac:dyDescent="0.2">
      <c r="B213" s="151"/>
      <c r="C213" s="152"/>
      <c r="H213" s="340"/>
      <c r="L213" s="131"/>
      <c r="M213" s="131"/>
      <c r="N213" s="131"/>
      <c r="O213" s="131"/>
      <c r="P213" s="131"/>
      <c r="Q213" s="131"/>
      <c r="R213" s="131"/>
      <c r="S213" s="131"/>
      <c r="T213" s="131"/>
      <c r="U213" s="131"/>
      <c r="V213" s="131"/>
      <c r="W213" s="131"/>
      <c r="X213" s="131"/>
      <c r="Y213" s="131"/>
      <c r="Z213" s="131"/>
      <c r="AA213" s="131"/>
      <c r="AB213" s="131"/>
      <c r="AC213" s="131"/>
    </row>
    <row r="214" spans="2:29" x14ac:dyDescent="0.2">
      <c r="B214" s="151"/>
      <c r="C214" s="152"/>
      <c r="H214" s="340"/>
      <c r="L214" s="131"/>
      <c r="M214" s="131"/>
      <c r="N214" s="131"/>
      <c r="O214" s="131"/>
      <c r="P214" s="131"/>
      <c r="Q214" s="131"/>
      <c r="R214" s="131"/>
      <c r="S214" s="131"/>
      <c r="T214" s="131"/>
      <c r="U214" s="131"/>
      <c r="V214" s="131"/>
      <c r="W214" s="131"/>
      <c r="X214" s="131"/>
      <c r="Y214" s="131"/>
      <c r="Z214" s="131"/>
      <c r="AA214" s="131"/>
      <c r="AB214" s="131"/>
      <c r="AC214" s="131"/>
    </row>
    <row r="215" spans="2:29" x14ac:dyDescent="0.2">
      <c r="B215" s="151"/>
      <c r="C215" s="152"/>
      <c r="H215" s="340"/>
      <c r="L215" s="131"/>
      <c r="M215" s="131"/>
      <c r="N215" s="131"/>
      <c r="O215" s="131"/>
      <c r="P215" s="131"/>
      <c r="Q215" s="131"/>
      <c r="R215" s="131"/>
      <c r="S215" s="131"/>
      <c r="T215" s="131"/>
      <c r="U215" s="131"/>
      <c r="V215" s="131"/>
      <c r="W215" s="131"/>
      <c r="X215" s="131"/>
      <c r="Y215" s="131"/>
      <c r="Z215" s="131"/>
      <c r="AA215" s="131"/>
      <c r="AB215" s="131"/>
      <c r="AC215" s="131"/>
    </row>
    <row r="216" spans="2:29" x14ac:dyDescent="0.2">
      <c r="B216" s="151"/>
      <c r="C216" s="152"/>
      <c r="H216" s="340"/>
      <c r="L216" s="131"/>
      <c r="M216" s="131"/>
      <c r="N216" s="131"/>
      <c r="O216" s="131"/>
      <c r="P216" s="131"/>
      <c r="Q216" s="131"/>
      <c r="R216" s="131"/>
      <c r="S216" s="131"/>
      <c r="T216" s="131"/>
      <c r="U216" s="131"/>
      <c r="V216" s="131"/>
      <c r="W216" s="131"/>
      <c r="X216" s="131"/>
      <c r="Y216" s="131"/>
      <c r="Z216" s="131"/>
      <c r="AA216" s="131"/>
      <c r="AB216" s="131"/>
      <c r="AC216" s="131"/>
    </row>
    <row r="217" spans="2:29" x14ac:dyDescent="0.2">
      <c r="B217" s="151"/>
      <c r="C217" s="152"/>
      <c r="H217" s="340"/>
      <c r="L217" s="131"/>
      <c r="M217" s="131"/>
      <c r="N217" s="131"/>
      <c r="O217" s="131"/>
      <c r="P217" s="131"/>
      <c r="Q217" s="131"/>
      <c r="R217" s="131"/>
      <c r="S217" s="131"/>
      <c r="T217" s="131"/>
      <c r="U217" s="131"/>
      <c r="V217" s="131"/>
      <c r="W217" s="131"/>
      <c r="X217" s="131"/>
      <c r="Y217" s="131"/>
      <c r="Z217" s="131"/>
      <c r="AA217" s="131"/>
      <c r="AB217" s="131"/>
      <c r="AC217" s="131"/>
    </row>
    <row r="218" spans="2:29" x14ac:dyDescent="0.2">
      <c r="B218" s="151"/>
      <c r="C218" s="152"/>
      <c r="H218" s="340"/>
      <c r="L218" s="131"/>
      <c r="M218" s="131"/>
      <c r="N218" s="131"/>
      <c r="O218" s="131"/>
      <c r="P218" s="131"/>
      <c r="Q218" s="131"/>
      <c r="R218" s="131"/>
      <c r="S218" s="131"/>
      <c r="T218" s="131"/>
      <c r="U218" s="131"/>
      <c r="V218" s="131"/>
      <c r="W218" s="131"/>
      <c r="X218" s="131"/>
      <c r="Y218" s="131"/>
      <c r="Z218" s="131"/>
      <c r="AA218" s="131"/>
      <c r="AB218" s="131"/>
      <c r="AC218" s="131"/>
    </row>
    <row r="219" spans="2:29" x14ac:dyDescent="0.2">
      <c r="B219" s="151"/>
      <c r="C219" s="152"/>
      <c r="H219" s="340"/>
      <c r="L219" s="131"/>
      <c r="M219" s="131"/>
      <c r="N219" s="131"/>
      <c r="O219" s="131"/>
      <c r="P219" s="131"/>
      <c r="Q219" s="131"/>
      <c r="R219" s="131"/>
      <c r="S219" s="131"/>
      <c r="T219" s="131"/>
      <c r="U219" s="131"/>
      <c r="V219" s="131"/>
      <c r="W219" s="131"/>
      <c r="X219" s="131"/>
      <c r="Y219" s="131"/>
      <c r="Z219" s="131"/>
      <c r="AA219" s="131"/>
      <c r="AB219" s="131"/>
      <c r="AC219" s="131"/>
    </row>
    <row r="220" spans="2:29" x14ac:dyDescent="0.2">
      <c r="B220" s="151"/>
      <c r="C220" s="152"/>
      <c r="H220" s="340"/>
      <c r="L220" s="131"/>
      <c r="M220" s="131"/>
      <c r="N220" s="131"/>
      <c r="O220" s="131"/>
      <c r="P220" s="131"/>
      <c r="Q220" s="131"/>
      <c r="R220" s="131"/>
      <c r="S220" s="131"/>
      <c r="T220" s="131"/>
      <c r="U220" s="131"/>
      <c r="V220" s="131"/>
      <c r="W220" s="131"/>
      <c r="X220" s="131"/>
      <c r="Y220" s="131"/>
      <c r="Z220" s="131"/>
      <c r="AA220" s="131"/>
      <c r="AB220" s="131"/>
      <c r="AC220" s="131"/>
    </row>
    <row r="221" spans="2:29" x14ac:dyDescent="0.2">
      <c r="B221" s="151"/>
      <c r="C221" s="152"/>
      <c r="H221" s="340"/>
      <c r="L221" s="131"/>
      <c r="M221" s="131"/>
      <c r="N221" s="131"/>
      <c r="O221" s="131"/>
      <c r="P221" s="131"/>
      <c r="Q221" s="131"/>
      <c r="R221" s="131"/>
      <c r="S221" s="131"/>
      <c r="T221" s="131"/>
      <c r="U221" s="131"/>
      <c r="V221" s="131"/>
      <c r="W221" s="131"/>
      <c r="X221" s="131"/>
      <c r="Y221" s="131"/>
      <c r="Z221" s="131"/>
      <c r="AA221" s="131"/>
      <c r="AB221" s="131"/>
      <c r="AC221" s="131"/>
    </row>
    <row r="222" spans="2:29" x14ac:dyDescent="0.2">
      <c r="B222" s="151"/>
      <c r="C222" s="152"/>
      <c r="H222" s="340"/>
      <c r="L222" s="131"/>
      <c r="M222" s="131"/>
      <c r="N222" s="131"/>
      <c r="O222" s="131"/>
      <c r="P222" s="131"/>
      <c r="Q222" s="131"/>
      <c r="R222" s="131"/>
      <c r="S222" s="131"/>
      <c r="T222" s="131"/>
      <c r="U222" s="131"/>
      <c r="V222" s="131"/>
      <c r="W222" s="131"/>
      <c r="X222" s="131"/>
      <c r="Y222" s="131"/>
      <c r="Z222" s="131"/>
      <c r="AA222" s="131"/>
      <c r="AB222" s="131"/>
      <c r="AC222" s="131"/>
    </row>
    <row r="223" spans="2:29" x14ac:dyDescent="0.2">
      <c r="B223" s="151"/>
      <c r="C223" s="152"/>
      <c r="H223" s="340"/>
      <c r="L223" s="131"/>
      <c r="M223" s="131"/>
      <c r="N223" s="131"/>
      <c r="O223" s="131"/>
      <c r="P223" s="131"/>
      <c r="Q223" s="131"/>
      <c r="R223" s="131"/>
      <c r="S223" s="131"/>
      <c r="T223" s="131"/>
      <c r="U223" s="131"/>
      <c r="V223" s="131"/>
      <c r="W223" s="131"/>
      <c r="X223" s="131"/>
      <c r="Y223" s="131"/>
      <c r="Z223" s="131"/>
      <c r="AA223" s="131"/>
      <c r="AB223" s="131"/>
      <c r="AC223" s="131"/>
    </row>
    <row r="224" spans="2:29" x14ac:dyDescent="0.2">
      <c r="B224" s="151"/>
      <c r="C224" s="152"/>
      <c r="H224" s="340"/>
      <c r="L224" s="131"/>
      <c r="M224" s="131"/>
      <c r="N224" s="131"/>
      <c r="O224" s="131"/>
      <c r="P224" s="131"/>
      <c r="Q224" s="131"/>
      <c r="R224" s="131"/>
      <c r="S224" s="131"/>
      <c r="T224" s="131"/>
      <c r="U224" s="131"/>
      <c r="V224" s="131"/>
      <c r="W224" s="131"/>
      <c r="X224" s="131"/>
      <c r="Y224" s="131"/>
      <c r="Z224" s="131"/>
      <c r="AA224" s="131"/>
      <c r="AB224" s="131"/>
      <c r="AC224" s="131"/>
    </row>
    <row r="225" spans="2:29" x14ac:dyDescent="0.2">
      <c r="B225" s="151"/>
      <c r="C225" s="152"/>
      <c r="H225" s="340"/>
      <c r="L225" s="131"/>
      <c r="M225" s="131"/>
      <c r="N225" s="131"/>
      <c r="O225" s="131"/>
      <c r="P225" s="131"/>
      <c r="Q225" s="131"/>
      <c r="R225" s="131"/>
      <c r="S225" s="131"/>
      <c r="T225" s="131"/>
      <c r="U225" s="131"/>
      <c r="V225" s="131"/>
      <c r="W225" s="131"/>
      <c r="X225" s="131"/>
      <c r="Y225" s="131"/>
      <c r="Z225" s="131"/>
      <c r="AA225" s="131"/>
      <c r="AB225" s="131"/>
      <c r="AC225" s="131"/>
    </row>
    <row r="226" spans="2:29" x14ac:dyDescent="0.2">
      <c r="B226" s="151"/>
      <c r="C226" s="152"/>
      <c r="H226" s="340"/>
      <c r="L226" s="131"/>
      <c r="M226" s="131"/>
      <c r="N226" s="131"/>
      <c r="O226" s="131"/>
      <c r="P226" s="131"/>
      <c r="Q226" s="131"/>
      <c r="R226" s="131"/>
      <c r="S226" s="131"/>
      <c r="T226" s="131"/>
      <c r="U226" s="131"/>
      <c r="V226" s="131"/>
      <c r="W226" s="131"/>
      <c r="X226" s="131"/>
      <c r="Y226" s="131"/>
      <c r="Z226" s="131"/>
      <c r="AA226" s="131"/>
      <c r="AB226" s="131"/>
      <c r="AC226" s="131"/>
    </row>
    <row r="227" spans="2:29" x14ac:dyDescent="0.2">
      <c r="B227" s="151"/>
      <c r="C227" s="152"/>
      <c r="H227" s="340"/>
      <c r="L227" s="131"/>
      <c r="M227" s="131"/>
      <c r="N227" s="131"/>
      <c r="O227" s="131"/>
      <c r="P227" s="131"/>
      <c r="Q227" s="131"/>
      <c r="R227" s="131"/>
      <c r="S227" s="131"/>
      <c r="T227" s="131"/>
      <c r="U227" s="131"/>
      <c r="V227" s="131"/>
      <c r="W227" s="131"/>
      <c r="X227" s="131"/>
      <c r="Y227" s="131"/>
      <c r="Z227" s="131"/>
      <c r="AA227" s="131"/>
      <c r="AB227" s="131"/>
      <c r="AC227" s="131"/>
    </row>
    <row r="228" spans="2:29" x14ac:dyDescent="0.2">
      <c r="B228" s="151"/>
      <c r="C228" s="152"/>
      <c r="H228" s="340"/>
      <c r="L228" s="131"/>
      <c r="M228" s="131"/>
      <c r="N228" s="131"/>
      <c r="O228" s="131"/>
      <c r="P228" s="131"/>
      <c r="Q228" s="131"/>
      <c r="R228" s="131"/>
      <c r="S228" s="131"/>
      <c r="T228" s="131"/>
      <c r="U228" s="131"/>
      <c r="V228" s="131"/>
      <c r="W228" s="131"/>
      <c r="X228" s="131"/>
      <c r="Y228" s="131"/>
      <c r="Z228" s="131"/>
      <c r="AA228" s="131"/>
      <c r="AB228" s="131"/>
      <c r="AC228" s="131"/>
    </row>
    <row r="229" spans="2:29" x14ac:dyDescent="0.2">
      <c r="B229" s="151"/>
      <c r="C229" s="152"/>
      <c r="H229" s="340"/>
      <c r="L229" s="131"/>
      <c r="M229" s="131"/>
      <c r="N229" s="131"/>
      <c r="O229" s="131"/>
      <c r="P229" s="131"/>
      <c r="Q229" s="131"/>
      <c r="R229" s="131"/>
      <c r="S229" s="131"/>
      <c r="T229" s="131"/>
      <c r="U229" s="131"/>
      <c r="V229" s="131"/>
      <c r="W229" s="131"/>
      <c r="X229" s="131"/>
      <c r="Y229" s="131"/>
      <c r="Z229" s="131"/>
      <c r="AA229" s="131"/>
      <c r="AB229" s="131"/>
      <c r="AC229" s="131"/>
    </row>
    <row r="230" spans="2:29" x14ac:dyDescent="0.2">
      <c r="B230" s="151"/>
      <c r="C230" s="152"/>
      <c r="H230" s="340"/>
      <c r="L230" s="131"/>
      <c r="M230" s="131"/>
      <c r="N230" s="131"/>
      <c r="O230" s="131"/>
      <c r="P230" s="131"/>
      <c r="Q230" s="131"/>
      <c r="R230" s="131"/>
      <c r="S230" s="131"/>
      <c r="T230" s="131"/>
      <c r="U230" s="131"/>
      <c r="V230" s="131"/>
      <c r="W230" s="131"/>
      <c r="X230" s="131"/>
      <c r="Y230" s="131"/>
      <c r="Z230" s="131"/>
      <c r="AA230" s="131"/>
      <c r="AB230" s="131"/>
      <c r="AC230" s="131"/>
    </row>
    <row r="231" spans="2:29" x14ac:dyDescent="0.2">
      <c r="B231" s="151"/>
      <c r="C231" s="152"/>
      <c r="H231" s="340"/>
      <c r="L231" s="131"/>
      <c r="M231" s="131"/>
      <c r="N231" s="131"/>
      <c r="O231" s="131"/>
      <c r="P231" s="131"/>
      <c r="Q231" s="131"/>
      <c r="R231" s="131"/>
      <c r="S231" s="131"/>
      <c r="T231" s="131"/>
      <c r="U231" s="131"/>
      <c r="V231" s="131"/>
      <c r="W231" s="131"/>
      <c r="X231" s="131"/>
      <c r="Y231" s="131"/>
      <c r="Z231" s="131"/>
      <c r="AA231" s="131"/>
      <c r="AB231" s="131"/>
      <c r="AC231" s="131"/>
    </row>
    <row r="232" spans="2:29" x14ac:dyDescent="0.2">
      <c r="B232" s="151"/>
      <c r="C232" s="152"/>
      <c r="H232" s="340"/>
      <c r="L232" s="131"/>
      <c r="M232" s="131"/>
      <c r="N232" s="131"/>
      <c r="O232" s="131"/>
      <c r="P232" s="131"/>
      <c r="Q232" s="131"/>
      <c r="R232" s="131"/>
      <c r="S232" s="131"/>
      <c r="T232" s="131"/>
      <c r="U232" s="131"/>
      <c r="V232" s="131"/>
      <c r="W232" s="131"/>
      <c r="X232" s="131"/>
      <c r="Y232" s="131"/>
      <c r="Z232" s="131"/>
      <c r="AA232" s="131"/>
      <c r="AB232" s="131"/>
      <c r="AC232" s="131"/>
    </row>
    <row r="233" spans="2:29" x14ac:dyDescent="0.2">
      <c r="B233" s="151"/>
      <c r="C233" s="152"/>
      <c r="H233" s="340"/>
      <c r="L233" s="131"/>
      <c r="M233" s="131"/>
      <c r="N233" s="131"/>
      <c r="O233" s="131"/>
      <c r="P233" s="131"/>
      <c r="Q233" s="131"/>
      <c r="R233" s="131"/>
      <c r="S233" s="131"/>
      <c r="T233" s="131"/>
      <c r="U233" s="131"/>
      <c r="V233" s="131"/>
      <c r="W233" s="131"/>
      <c r="X233" s="131"/>
      <c r="Y233" s="131"/>
      <c r="Z233" s="131"/>
      <c r="AA233" s="131"/>
      <c r="AB233" s="131"/>
      <c r="AC233" s="131"/>
    </row>
    <row r="234" spans="2:29" x14ac:dyDescent="0.2">
      <c r="B234" s="151"/>
      <c r="C234" s="152"/>
      <c r="H234" s="340"/>
      <c r="L234" s="131"/>
      <c r="M234" s="131"/>
      <c r="N234" s="131"/>
      <c r="O234" s="131"/>
      <c r="P234" s="131"/>
      <c r="Q234" s="131"/>
      <c r="R234" s="131"/>
      <c r="S234" s="131"/>
      <c r="T234" s="131"/>
      <c r="U234" s="131"/>
      <c r="V234" s="131"/>
      <c r="W234" s="131"/>
      <c r="X234" s="131"/>
      <c r="Y234" s="131"/>
      <c r="Z234" s="131"/>
      <c r="AA234" s="131"/>
      <c r="AB234" s="131"/>
      <c r="AC234" s="131"/>
    </row>
    <row r="235" spans="2:29" x14ac:dyDescent="0.2">
      <c r="B235" s="151"/>
      <c r="C235" s="152"/>
      <c r="H235" s="340"/>
      <c r="L235" s="131"/>
      <c r="M235" s="131"/>
      <c r="N235" s="131"/>
      <c r="O235" s="131"/>
      <c r="P235" s="131"/>
      <c r="Q235" s="131"/>
      <c r="R235" s="131"/>
      <c r="S235" s="131"/>
      <c r="T235" s="131"/>
      <c r="U235" s="131"/>
      <c r="V235" s="131"/>
      <c r="W235" s="131"/>
      <c r="X235" s="131"/>
      <c r="Y235" s="131"/>
      <c r="Z235" s="131"/>
      <c r="AA235" s="131"/>
      <c r="AB235" s="131"/>
      <c r="AC235" s="131"/>
    </row>
    <row r="236" spans="2:29" x14ac:dyDescent="0.2">
      <c r="B236" s="151"/>
      <c r="C236" s="152"/>
      <c r="H236" s="340"/>
      <c r="L236" s="131"/>
      <c r="M236" s="131"/>
      <c r="N236" s="131"/>
      <c r="O236" s="131"/>
      <c r="P236" s="131"/>
      <c r="Q236" s="131"/>
      <c r="R236" s="131"/>
      <c r="S236" s="131"/>
      <c r="T236" s="131"/>
      <c r="U236" s="131"/>
      <c r="V236" s="131"/>
      <c r="W236" s="131"/>
      <c r="X236" s="131"/>
      <c r="Y236" s="131"/>
      <c r="Z236" s="131"/>
      <c r="AA236" s="131"/>
      <c r="AB236" s="131"/>
      <c r="AC236" s="131"/>
    </row>
    <row r="237" spans="2:29" x14ac:dyDescent="0.2">
      <c r="B237" s="151"/>
      <c r="C237" s="152"/>
      <c r="H237" s="340"/>
      <c r="L237" s="131"/>
      <c r="M237" s="131"/>
      <c r="N237" s="131"/>
      <c r="O237" s="131"/>
      <c r="P237" s="131"/>
      <c r="Q237" s="131"/>
      <c r="R237" s="131"/>
      <c r="S237" s="131"/>
      <c r="T237" s="131"/>
      <c r="U237" s="131"/>
      <c r="V237" s="131"/>
      <c r="W237" s="131"/>
      <c r="X237" s="131"/>
      <c r="Y237" s="131"/>
      <c r="Z237" s="131"/>
      <c r="AA237" s="131"/>
      <c r="AB237" s="131"/>
      <c r="AC237" s="131"/>
    </row>
    <row r="238" spans="2:29" x14ac:dyDescent="0.2">
      <c r="B238" s="151"/>
      <c r="C238" s="152"/>
      <c r="H238" s="340"/>
      <c r="L238" s="131"/>
      <c r="M238" s="131"/>
      <c r="N238" s="131"/>
      <c r="O238" s="131"/>
      <c r="P238" s="131"/>
      <c r="Q238" s="131"/>
      <c r="R238" s="131"/>
      <c r="S238" s="131"/>
      <c r="T238" s="131"/>
      <c r="U238" s="131"/>
      <c r="V238" s="131"/>
      <c r="W238" s="131"/>
      <c r="X238" s="131"/>
      <c r="Y238" s="131"/>
      <c r="Z238" s="131"/>
      <c r="AA238" s="131"/>
      <c r="AB238" s="131"/>
      <c r="AC238" s="131"/>
    </row>
    <row r="239" spans="2:29" x14ac:dyDescent="0.2">
      <c r="B239" s="151"/>
      <c r="C239" s="152"/>
      <c r="H239" s="340"/>
      <c r="L239" s="131"/>
      <c r="M239" s="131"/>
      <c r="N239" s="131"/>
      <c r="O239" s="131"/>
      <c r="P239" s="131"/>
      <c r="Q239" s="131"/>
      <c r="R239" s="131"/>
      <c r="S239" s="131"/>
      <c r="T239" s="131"/>
      <c r="U239" s="131"/>
      <c r="V239" s="131"/>
      <c r="W239" s="131"/>
      <c r="X239" s="131"/>
      <c r="Y239" s="131"/>
      <c r="Z239" s="131"/>
      <c r="AA239" s="131"/>
      <c r="AB239" s="131"/>
      <c r="AC239" s="131"/>
    </row>
    <row r="240" spans="2:29" x14ac:dyDescent="0.2">
      <c r="B240" s="151"/>
      <c r="C240" s="152"/>
      <c r="H240" s="340"/>
      <c r="L240" s="131"/>
      <c r="M240" s="131"/>
      <c r="N240" s="131"/>
      <c r="O240" s="131"/>
      <c r="P240" s="131"/>
      <c r="Q240" s="131"/>
      <c r="R240" s="131"/>
      <c r="S240" s="131"/>
      <c r="T240" s="131"/>
      <c r="U240" s="131"/>
      <c r="V240" s="131"/>
      <c r="W240" s="131"/>
      <c r="X240" s="131"/>
      <c r="Y240" s="131"/>
      <c r="Z240" s="131"/>
      <c r="AA240" s="131"/>
      <c r="AB240" s="131"/>
      <c r="AC240" s="131"/>
    </row>
    <row r="241" spans="2:29" x14ac:dyDescent="0.2">
      <c r="B241" s="151"/>
      <c r="C241" s="152"/>
      <c r="H241" s="340"/>
      <c r="L241" s="131"/>
      <c r="M241" s="131"/>
      <c r="N241" s="131"/>
      <c r="O241" s="131"/>
      <c r="P241" s="131"/>
      <c r="Q241" s="131"/>
      <c r="R241" s="131"/>
      <c r="S241" s="131"/>
      <c r="T241" s="131"/>
      <c r="U241" s="131"/>
      <c r="V241" s="131"/>
      <c r="W241" s="131"/>
      <c r="X241" s="131"/>
      <c r="Y241" s="131"/>
      <c r="Z241" s="131"/>
      <c r="AA241" s="131"/>
      <c r="AB241" s="131"/>
      <c r="AC241" s="131"/>
    </row>
    <row r="242" spans="2:29" x14ac:dyDescent="0.2">
      <c r="B242" s="151"/>
      <c r="C242" s="152"/>
      <c r="H242" s="340"/>
      <c r="L242" s="131"/>
      <c r="M242" s="131"/>
      <c r="N242" s="131"/>
      <c r="O242" s="131"/>
      <c r="P242" s="131"/>
      <c r="Q242" s="131"/>
      <c r="R242" s="131"/>
      <c r="S242" s="131"/>
      <c r="T242" s="131"/>
      <c r="U242" s="131"/>
      <c r="V242" s="131"/>
      <c r="W242" s="131"/>
      <c r="X242" s="131"/>
      <c r="Y242" s="131"/>
      <c r="Z242" s="131"/>
      <c r="AA242" s="131"/>
      <c r="AB242" s="131"/>
      <c r="AC242" s="131"/>
    </row>
    <row r="243" spans="2:29" x14ac:dyDescent="0.2">
      <c r="B243" s="151"/>
      <c r="C243" s="152"/>
      <c r="H243" s="340"/>
      <c r="L243" s="131"/>
      <c r="M243" s="131"/>
      <c r="N243" s="131"/>
      <c r="O243" s="131"/>
      <c r="P243" s="131"/>
      <c r="Q243" s="131"/>
      <c r="R243" s="131"/>
      <c r="S243" s="131"/>
      <c r="T243" s="131"/>
      <c r="U243" s="131"/>
      <c r="V243" s="131"/>
      <c r="W243" s="131"/>
      <c r="X243" s="131"/>
      <c r="Y243" s="131"/>
      <c r="Z243" s="131"/>
      <c r="AA243" s="131"/>
      <c r="AB243" s="131"/>
      <c r="AC243" s="131"/>
    </row>
    <row r="244" spans="2:29" x14ac:dyDescent="0.2">
      <c r="B244" s="151"/>
      <c r="C244" s="152"/>
      <c r="H244" s="340"/>
      <c r="L244" s="131"/>
      <c r="M244" s="131"/>
      <c r="N244" s="131"/>
      <c r="O244" s="131"/>
      <c r="P244" s="131"/>
      <c r="Q244" s="131"/>
      <c r="R244" s="131"/>
      <c r="S244" s="131"/>
      <c r="T244" s="131"/>
      <c r="U244" s="131"/>
      <c r="V244" s="131"/>
      <c r="W244" s="131"/>
      <c r="X244" s="131"/>
      <c r="Y244" s="131"/>
      <c r="Z244" s="131"/>
      <c r="AA244" s="131"/>
      <c r="AB244" s="131"/>
      <c r="AC244" s="131"/>
    </row>
    <row r="245" spans="2:29" x14ac:dyDescent="0.2">
      <c r="B245" s="151"/>
      <c r="C245" s="152"/>
      <c r="H245" s="340"/>
      <c r="L245" s="131"/>
      <c r="M245" s="131"/>
      <c r="N245" s="131"/>
      <c r="O245" s="131"/>
      <c r="P245" s="131"/>
      <c r="Q245" s="131"/>
      <c r="R245" s="131"/>
      <c r="S245" s="131"/>
      <c r="T245" s="131"/>
      <c r="U245" s="131"/>
      <c r="V245" s="131"/>
      <c r="W245" s="131"/>
      <c r="X245" s="131"/>
      <c r="Y245" s="131"/>
      <c r="Z245" s="131"/>
      <c r="AA245" s="131"/>
      <c r="AB245" s="131"/>
      <c r="AC245" s="131"/>
    </row>
    <row r="246" spans="2:29" x14ac:dyDescent="0.2">
      <c r="B246" s="151"/>
      <c r="C246" s="152"/>
      <c r="H246" s="340"/>
      <c r="L246" s="131"/>
      <c r="M246" s="131"/>
      <c r="N246" s="131"/>
      <c r="O246" s="131"/>
      <c r="P246" s="131"/>
      <c r="Q246" s="131"/>
      <c r="R246" s="131"/>
      <c r="S246" s="131"/>
      <c r="T246" s="131"/>
      <c r="U246" s="131"/>
      <c r="V246" s="131"/>
      <c r="W246" s="131"/>
      <c r="X246" s="131"/>
      <c r="Y246" s="131"/>
      <c r="Z246" s="131"/>
      <c r="AA246" s="131"/>
      <c r="AB246" s="131"/>
      <c r="AC246" s="131"/>
    </row>
    <row r="247" spans="2:29" x14ac:dyDescent="0.2">
      <c r="B247" s="151"/>
      <c r="C247" s="152"/>
      <c r="H247" s="340"/>
      <c r="L247" s="131"/>
      <c r="M247" s="131"/>
      <c r="N247" s="131"/>
      <c r="O247" s="131"/>
      <c r="P247" s="131"/>
      <c r="Q247" s="131"/>
      <c r="R247" s="131"/>
      <c r="S247" s="131"/>
      <c r="T247" s="131"/>
      <c r="U247" s="131"/>
      <c r="V247" s="131"/>
      <c r="W247" s="131"/>
      <c r="X247" s="131"/>
      <c r="Y247" s="131"/>
      <c r="Z247" s="131"/>
      <c r="AA247" s="131"/>
      <c r="AB247" s="131"/>
      <c r="AC247" s="131"/>
    </row>
    <row r="248" spans="2:29" x14ac:dyDescent="0.2">
      <c r="B248" s="151"/>
      <c r="C248" s="152"/>
      <c r="H248" s="340"/>
      <c r="L248" s="131"/>
      <c r="M248" s="131"/>
      <c r="N248" s="131"/>
      <c r="O248" s="131"/>
      <c r="P248" s="131"/>
      <c r="Q248" s="131"/>
      <c r="R248" s="131"/>
      <c r="S248" s="131"/>
      <c r="T248" s="131"/>
      <c r="U248" s="131"/>
      <c r="V248" s="131"/>
      <c r="W248" s="131"/>
      <c r="X248" s="131"/>
      <c r="Y248" s="131"/>
      <c r="Z248" s="131"/>
      <c r="AA248" s="131"/>
      <c r="AB248" s="131"/>
      <c r="AC248" s="131"/>
    </row>
    <row r="249" spans="2:29" x14ac:dyDescent="0.2">
      <c r="B249" s="151"/>
      <c r="C249" s="152"/>
      <c r="H249" s="340"/>
      <c r="L249" s="131"/>
      <c r="M249" s="131"/>
      <c r="N249" s="131"/>
      <c r="O249" s="131"/>
      <c r="P249" s="131"/>
      <c r="Q249" s="131"/>
      <c r="R249" s="131"/>
      <c r="S249" s="131"/>
      <c r="T249" s="131"/>
      <c r="U249" s="131"/>
      <c r="V249" s="131"/>
      <c r="W249" s="131"/>
      <c r="X249" s="131"/>
      <c r="Y249" s="131"/>
      <c r="Z249" s="131"/>
      <c r="AA249" s="131"/>
      <c r="AB249" s="131"/>
      <c r="AC249" s="131"/>
    </row>
    <row r="250" spans="2:29" x14ac:dyDescent="0.2">
      <c r="B250" s="151"/>
      <c r="C250" s="152"/>
      <c r="H250" s="340"/>
      <c r="L250" s="131"/>
      <c r="M250" s="131"/>
      <c r="N250" s="131"/>
      <c r="O250" s="131"/>
      <c r="P250" s="131"/>
      <c r="Q250" s="131"/>
      <c r="R250" s="131"/>
      <c r="S250" s="131"/>
      <c r="T250" s="131"/>
      <c r="U250" s="131"/>
      <c r="V250" s="131"/>
      <c r="W250" s="131"/>
      <c r="X250" s="131"/>
      <c r="Y250" s="131"/>
      <c r="Z250" s="131"/>
      <c r="AA250" s="131"/>
      <c r="AB250" s="131"/>
      <c r="AC250" s="131"/>
    </row>
    <row r="251" spans="2:29" x14ac:dyDescent="0.2">
      <c r="B251" s="151"/>
      <c r="C251" s="152"/>
      <c r="H251" s="340"/>
      <c r="L251" s="131"/>
      <c r="M251" s="131"/>
      <c r="N251" s="131"/>
      <c r="O251" s="131"/>
      <c r="P251" s="131"/>
      <c r="Q251" s="131"/>
      <c r="R251" s="131"/>
      <c r="S251" s="131"/>
      <c r="T251" s="131"/>
      <c r="U251" s="131"/>
      <c r="V251" s="131"/>
      <c r="W251" s="131"/>
      <c r="X251" s="131"/>
      <c r="Y251" s="131"/>
      <c r="Z251" s="131"/>
      <c r="AA251" s="131"/>
      <c r="AB251" s="131"/>
      <c r="AC251" s="131"/>
    </row>
    <row r="252" spans="2:29" x14ac:dyDescent="0.2">
      <c r="B252" s="151"/>
      <c r="C252" s="152"/>
      <c r="H252" s="340"/>
      <c r="L252" s="131"/>
      <c r="M252" s="131"/>
      <c r="N252" s="131"/>
      <c r="O252" s="131"/>
      <c r="P252" s="131"/>
      <c r="Q252" s="131"/>
      <c r="R252" s="131"/>
      <c r="S252" s="131"/>
      <c r="T252" s="131"/>
      <c r="U252" s="131"/>
      <c r="V252" s="131"/>
      <c r="W252" s="131"/>
      <c r="X252" s="131"/>
      <c r="Y252" s="131"/>
      <c r="Z252" s="131"/>
      <c r="AA252" s="131"/>
      <c r="AB252" s="131"/>
      <c r="AC252" s="131"/>
    </row>
    <row r="253" spans="2:29" x14ac:dyDescent="0.2">
      <c r="B253" s="151"/>
      <c r="C253" s="152"/>
      <c r="H253" s="340"/>
      <c r="L253" s="131"/>
      <c r="M253" s="131"/>
      <c r="N253" s="131"/>
      <c r="O253" s="131"/>
      <c r="P253" s="131"/>
      <c r="Q253" s="131"/>
      <c r="R253" s="131"/>
      <c r="S253" s="131"/>
      <c r="T253" s="131"/>
      <c r="U253" s="131"/>
      <c r="V253" s="131"/>
      <c r="W253" s="131"/>
      <c r="X253" s="131"/>
      <c r="Y253" s="131"/>
      <c r="Z253" s="131"/>
      <c r="AA253" s="131"/>
      <c r="AB253" s="131"/>
      <c r="AC253" s="131"/>
    </row>
    <row r="254" spans="2:29" x14ac:dyDescent="0.2">
      <c r="B254" s="151"/>
      <c r="C254" s="152"/>
      <c r="H254" s="340"/>
      <c r="L254" s="131"/>
      <c r="M254" s="131"/>
      <c r="N254" s="131"/>
      <c r="O254" s="131"/>
      <c r="P254" s="131"/>
      <c r="Q254" s="131"/>
      <c r="R254" s="131"/>
      <c r="S254" s="131"/>
      <c r="T254" s="131"/>
      <c r="U254" s="131"/>
      <c r="V254" s="131"/>
      <c r="W254" s="131"/>
      <c r="X254" s="131"/>
      <c r="Y254" s="131"/>
      <c r="Z254" s="131"/>
      <c r="AA254" s="131"/>
      <c r="AB254" s="131"/>
      <c r="AC254" s="131"/>
    </row>
    <row r="255" spans="2:29" x14ac:dyDescent="0.2">
      <c r="B255" s="151"/>
      <c r="C255" s="152"/>
      <c r="H255" s="340"/>
      <c r="L255" s="131"/>
      <c r="M255" s="131"/>
      <c r="N255" s="131"/>
      <c r="O255" s="131"/>
      <c r="P255" s="131"/>
      <c r="Q255" s="131"/>
      <c r="R255" s="131"/>
      <c r="S255" s="131"/>
      <c r="T255" s="131"/>
      <c r="U255" s="131"/>
      <c r="V255" s="131"/>
      <c r="W255" s="131"/>
      <c r="X255" s="131"/>
      <c r="Y255" s="131"/>
      <c r="Z255" s="131"/>
      <c r="AA255" s="131"/>
      <c r="AB255" s="131"/>
      <c r="AC255" s="131"/>
    </row>
    <row r="256" spans="2:29" x14ac:dyDescent="0.2">
      <c r="B256" s="151"/>
      <c r="C256" s="152"/>
      <c r="H256" s="340"/>
      <c r="L256" s="131"/>
      <c r="M256" s="131"/>
      <c r="N256" s="131"/>
      <c r="O256" s="131"/>
      <c r="P256" s="131"/>
      <c r="Q256" s="131"/>
      <c r="R256" s="131"/>
      <c r="S256" s="131"/>
      <c r="T256" s="131"/>
      <c r="U256" s="131"/>
      <c r="V256" s="131"/>
      <c r="W256" s="131"/>
      <c r="X256" s="131"/>
      <c r="Y256" s="131"/>
      <c r="Z256" s="131"/>
      <c r="AA256" s="131"/>
      <c r="AB256" s="131"/>
      <c r="AC256" s="131"/>
    </row>
    <row r="257" spans="2:29" x14ac:dyDescent="0.2">
      <c r="B257" s="151"/>
      <c r="C257" s="152"/>
      <c r="H257" s="340"/>
      <c r="L257" s="131"/>
      <c r="M257" s="131"/>
      <c r="N257" s="131"/>
      <c r="O257" s="131"/>
      <c r="P257" s="131"/>
      <c r="Q257" s="131"/>
      <c r="R257" s="131"/>
      <c r="S257" s="131"/>
      <c r="T257" s="131"/>
      <c r="U257" s="131"/>
      <c r="V257" s="131"/>
      <c r="W257" s="131"/>
      <c r="X257" s="131"/>
      <c r="Y257" s="131"/>
      <c r="Z257" s="131"/>
      <c r="AA257" s="131"/>
      <c r="AB257" s="131"/>
      <c r="AC257" s="131"/>
    </row>
    <row r="258" spans="2:29" x14ac:dyDescent="0.2">
      <c r="B258" s="151"/>
      <c r="C258" s="152"/>
      <c r="H258" s="340"/>
      <c r="L258" s="131"/>
      <c r="M258" s="131"/>
      <c r="N258" s="131"/>
      <c r="O258" s="131"/>
      <c r="P258" s="131"/>
      <c r="Q258" s="131"/>
      <c r="R258" s="131"/>
      <c r="S258" s="131"/>
      <c r="T258" s="131"/>
      <c r="U258" s="131"/>
      <c r="V258" s="131"/>
      <c r="W258" s="131"/>
      <c r="X258" s="131"/>
      <c r="Y258" s="131"/>
      <c r="Z258" s="131"/>
      <c r="AA258" s="131"/>
      <c r="AB258" s="131"/>
      <c r="AC258" s="131"/>
    </row>
    <row r="259" spans="2:29" x14ac:dyDescent="0.2">
      <c r="B259" s="151"/>
      <c r="C259" s="152"/>
      <c r="H259" s="340"/>
      <c r="L259" s="131"/>
      <c r="M259" s="131"/>
      <c r="N259" s="131"/>
      <c r="O259" s="131"/>
      <c r="P259" s="131"/>
      <c r="Q259" s="131"/>
      <c r="R259" s="131"/>
      <c r="S259" s="131"/>
      <c r="T259" s="131"/>
      <c r="U259" s="131"/>
      <c r="V259" s="131"/>
      <c r="W259" s="131"/>
      <c r="X259" s="131"/>
      <c r="Y259" s="131"/>
      <c r="Z259" s="131"/>
      <c r="AA259" s="131"/>
      <c r="AB259" s="131"/>
      <c r="AC259" s="131"/>
    </row>
    <row r="260" spans="2:29" x14ac:dyDescent="0.2">
      <c r="B260" s="151"/>
      <c r="C260" s="152"/>
      <c r="H260" s="340"/>
      <c r="L260" s="131"/>
      <c r="M260" s="131"/>
      <c r="N260" s="131"/>
      <c r="O260" s="131"/>
      <c r="P260" s="131"/>
      <c r="Q260" s="131"/>
      <c r="R260" s="131"/>
      <c r="S260" s="131"/>
      <c r="T260" s="131"/>
      <c r="U260" s="131"/>
      <c r="V260" s="131"/>
      <c r="W260" s="131"/>
      <c r="X260" s="131"/>
      <c r="Y260" s="131"/>
      <c r="Z260" s="131"/>
      <c r="AA260" s="131"/>
      <c r="AB260" s="131"/>
      <c r="AC260" s="131"/>
    </row>
    <row r="261" spans="2:29" x14ac:dyDescent="0.2">
      <c r="B261" s="151"/>
      <c r="C261" s="152"/>
      <c r="H261" s="340"/>
      <c r="L261" s="131"/>
      <c r="M261" s="131"/>
      <c r="N261" s="131"/>
      <c r="O261" s="131"/>
      <c r="P261" s="131"/>
      <c r="Q261" s="131"/>
      <c r="R261" s="131"/>
      <c r="S261" s="131"/>
      <c r="T261" s="131"/>
      <c r="U261" s="131"/>
      <c r="V261" s="131"/>
      <c r="W261" s="131"/>
      <c r="X261" s="131"/>
      <c r="Y261" s="131"/>
      <c r="Z261" s="131"/>
      <c r="AA261" s="131"/>
      <c r="AB261" s="131"/>
      <c r="AC261" s="131"/>
    </row>
    <row r="262" spans="2:29" x14ac:dyDescent="0.2">
      <c r="B262" s="151"/>
      <c r="C262" s="152"/>
      <c r="H262" s="340"/>
      <c r="L262" s="131"/>
      <c r="M262" s="131"/>
      <c r="N262" s="131"/>
      <c r="O262" s="131"/>
      <c r="P262" s="131"/>
      <c r="Q262" s="131"/>
      <c r="R262" s="131"/>
      <c r="S262" s="131"/>
      <c r="T262" s="131"/>
      <c r="U262" s="131"/>
      <c r="V262" s="131"/>
      <c r="W262" s="131"/>
      <c r="X262" s="131"/>
      <c r="Y262" s="131"/>
      <c r="Z262" s="131"/>
      <c r="AA262" s="131"/>
      <c r="AB262" s="131"/>
      <c r="AC262" s="131"/>
    </row>
    <row r="263" spans="2:29" x14ac:dyDescent="0.2">
      <c r="B263" s="151"/>
      <c r="C263" s="152"/>
      <c r="H263" s="340"/>
      <c r="L263" s="131"/>
      <c r="M263" s="131"/>
      <c r="N263" s="131"/>
      <c r="O263" s="131"/>
      <c r="P263" s="131"/>
      <c r="Q263" s="131"/>
      <c r="R263" s="131"/>
      <c r="S263" s="131"/>
      <c r="T263" s="131"/>
      <c r="U263" s="131"/>
      <c r="V263" s="131"/>
      <c r="W263" s="131"/>
      <c r="X263" s="131"/>
      <c r="Y263" s="131"/>
      <c r="Z263" s="131"/>
      <c r="AA263" s="131"/>
      <c r="AB263" s="131"/>
      <c r="AC263" s="131"/>
    </row>
    <row r="264" spans="2:29" x14ac:dyDescent="0.2">
      <c r="B264" s="151"/>
      <c r="C264" s="152"/>
      <c r="H264" s="340"/>
      <c r="L264" s="131"/>
      <c r="M264" s="131"/>
      <c r="N264" s="131"/>
      <c r="O264" s="131"/>
      <c r="P264" s="131"/>
      <c r="Q264" s="131"/>
      <c r="R264" s="131"/>
      <c r="S264" s="131"/>
      <c r="T264" s="131"/>
      <c r="U264" s="131"/>
      <c r="V264" s="131"/>
      <c r="W264" s="131"/>
      <c r="X264" s="131"/>
      <c r="Y264" s="131"/>
      <c r="Z264" s="131"/>
      <c r="AA264" s="131"/>
      <c r="AB264" s="131"/>
      <c r="AC264" s="131"/>
    </row>
    <row r="265" spans="2:29" x14ac:dyDescent="0.2">
      <c r="B265" s="151"/>
      <c r="C265" s="152"/>
      <c r="H265" s="340"/>
      <c r="L265" s="131"/>
      <c r="M265" s="131"/>
      <c r="N265" s="131"/>
      <c r="O265" s="131"/>
      <c r="P265" s="131"/>
      <c r="Q265" s="131"/>
      <c r="R265" s="131"/>
      <c r="S265" s="131"/>
      <c r="T265" s="131"/>
      <c r="U265" s="131"/>
      <c r="V265" s="131"/>
      <c r="W265" s="131"/>
      <c r="X265" s="131"/>
      <c r="Y265" s="131"/>
      <c r="Z265" s="131"/>
      <c r="AA265" s="131"/>
      <c r="AB265" s="131"/>
      <c r="AC265" s="131"/>
    </row>
    <row r="266" spans="2:29" x14ac:dyDescent="0.2">
      <c r="B266" s="151"/>
      <c r="C266" s="152"/>
      <c r="H266" s="340"/>
      <c r="L266" s="131"/>
      <c r="M266" s="131"/>
      <c r="N266" s="131"/>
      <c r="O266" s="131"/>
      <c r="P266" s="131"/>
      <c r="Q266" s="131"/>
      <c r="R266" s="131"/>
      <c r="S266" s="131"/>
      <c r="T266" s="131"/>
      <c r="U266" s="131"/>
      <c r="V266" s="131"/>
      <c r="W266" s="131"/>
      <c r="X266" s="131"/>
      <c r="Y266" s="131"/>
      <c r="Z266" s="131"/>
      <c r="AA266" s="131"/>
      <c r="AB266" s="131"/>
      <c r="AC266" s="131"/>
    </row>
    <row r="267" spans="2:29" x14ac:dyDescent="0.2">
      <c r="B267" s="151"/>
      <c r="C267" s="152"/>
      <c r="H267" s="340"/>
      <c r="L267" s="131"/>
      <c r="M267" s="131"/>
      <c r="N267" s="131"/>
      <c r="O267" s="131"/>
      <c r="P267" s="131"/>
      <c r="Q267" s="131"/>
      <c r="R267" s="131"/>
      <c r="S267" s="131"/>
      <c r="T267" s="131"/>
      <c r="U267" s="131"/>
      <c r="V267" s="131"/>
      <c r="W267" s="131"/>
      <c r="X267" s="131"/>
      <c r="Y267" s="131"/>
      <c r="Z267" s="131"/>
      <c r="AA267" s="131"/>
      <c r="AB267" s="131"/>
      <c r="AC267" s="131"/>
    </row>
    <row r="268" spans="2:29" x14ac:dyDescent="0.2">
      <c r="B268" s="151"/>
      <c r="C268" s="152"/>
      <c r="H268" s="340"/>
      <c r="L268" s="131"/>
      <c r="M268" s="131"/>
      <c r="N268" s="131"/>
      <c r="O268" s="131"/>
      <c r="P268" s="131"/>
      <c r="Q268" s="131"/>
      <c r="R268" s="131"/>
      <c r="S268" s="131"/>
      <c r="T268" s="131"/>
      <c r="U268" s="131"/>
      <c r="V268" s="131"/>
      <c r="W268" s="131"/>
      <c r="X268" s="131"/>
      <c r="Y268" s="131"/>
      <c r="Z268" s="131"/>
      <c r="AA268" s="131"/>
      <c r="AB268" s="131"/>
      <c r="AC268" s="131"/>
    </row>
    <row r="269" spans="2:29" x14ac:dyDescent="0.2">
      <c r="B269" s="151"/>
      <c r="C269" s="152"/>
      <c r="H269" s="340"/>
      <c r="L269" s="131"/>
      <c r="M269" s="131"/>
      <c r="N269" s="131"/>
      <c r="O269" s="131"/>
      <c r="P269" s="131"/>
      <c r="Q269" s="131"/>
      <c r="R269" s="131"/>
      <c r="S269" s="131"/>
      <c r="T269" s="131"/>
      <c r="U269" s="131"/>
      <c r="V269" s="131"/>
      <c r="W269" s="131"/>
      <c r="X269" s="131"/>
      <c r="Y269" s="131"/>
      <c r="Z269" s="131"/>
      <c r="AA269" s="131"/>
      <c r="AB269" s="131"/>
      <c r="AC269" s="131"/>
    </row>
    <row r="270" spans="2:29" x14ac:dyDescent="0.2">
      <c r="B270" s="151"/>
      <c r="C270" s="152"/>
      <c r="H270" s="340"/>
      <c r="L270" s="131"/>
      <c r="M270" s="131"/>
      <c r="N270" s="131"/>
      <c r="O270" s="131"/>
      <c r="P270" s="131"/>
      <c r="Q270" s="131"/>
      <c r="R270" s="131"/>
      <c r="S270" s="131"/>
      <c r="T270" s="131"/>
      <c r="U270" s="131"/>
      <c r="V270" s="131"/>
      <c r="W270" s="131"/>
      <c r="X270" s="131"/>
      <c r="Y270" s="131"/>
      <c r="Z270" s="131"/>
      <c r="AA270" s="131"/>
      <c r="AB270" s="131"/>
      <c r="AC270" s="131"/>
    </row>
    <row r="271" spans="2:29" x14ac:dyDescent="0.2">
      <c r="B271" s="151"/>
      <c r="C271" s="152"/>
      <c r="H271" s="340"/>
      <c r="L271" s="131"/>
      <c r="M271" s="131"/>
      <c r="N271" s="131"/>
      <c r="O271" s="131"/>
      <c r="P271" s="131"/>
      <c r="Q271" s="131"/>
      <c r="R271" s="131"/>
      <c r="S271" s="131"/>
      <c r="T271" s="131"/>
      <c r="U271" s="131"/>
      <c r="V271" s="131"/>
      <c r="W271" s="131"/>
      <c r="X271" s="131"/>
      <c r="Y271" s="131"/>
      <c r="Z271" s="131"/>
      <c r="AA271" s="131"/>
      <c r="AB271" s="131"/>
      <c r="AC271" s="131"/>
    </row>
    <row r="272" spans="2:29" x14ac:dyDescent="0.2">
      <c r="B272" s="151"/>
      <c r="C272" s="152"/>
      <c r="H272" s="340"/>
      <c r="L272" s="131"/>
      <c r="M272" s="131"/>
      <c r="N272" s="131"/>
      <c r="O272" s="131"/>
      <c r="P272" s="131"/>
      <c r="Q272" s="131"/>
      <c r="R272" s="131"/>
      <c r="S272" s="131"/>
      <c r="T272" s="131"/>
      <c r="U272" s="131"/>
      <c r="V272" s="131"/>
      <c r="W272" s="131"/>
      <c r="X272" s="131"/>
      <c r="Y272" s="131"/>
      <c r="Z272" s="131"/>
      <c r="AA272" s="131"/>
      <c r="AB272" s="131"/>
      <c r="AC272" s="131"/>
    </row>
    <row r="273" spans="2:29" x14ac:dyDescent="0.2">
      <c r="B273" s="151"/>
      <c r="C273" s="152"/>
      <c r="H273" s="340"/>
      <c r="L273" s="131"/>
      <c r="M273" s="131"/>
      <c r="N273" s="131"/>
      <c r="O273" s="131"/>
      <c r="P273" s="131"/>
      <c r="Q273" s="131"/>
      <c r="R273" s="131"/>
      <c r="S273" s="131"/>
      <c r="T273" s="131"/>
      <c r="U273" s="131"/>
      <c r="V273" s="131"/>
      <c r="W273" s="131"/>
      <c r="X273" s="131"/>
      <c r="Y273" s="131"/>
      <c r="Z273" s="131"/>
      <c r="AA273" s="131"/>
      <c r="AB273" s="131"/>
      <c r="AC273" s="131"/>
    </row>
    <row r="274" spans="2:29" x14ac:dyDescent="0.2">
      <c r="B274" s="151"/>
      <c r="C274" s="152"/>
      <c r="H274" s="340"/>
      <c r="L274" s="131"/>
      <c r="M274" s="131"/>
      <c r="N274" s="131"/>
      <c r="O274" s="131"/>
      <c r="P274" s="131"/>
      <c r="Q274" s="131"/>
      <c r="R274" s="131"/>
      <c r="S274" s="131"/>
      <c r="T274" s="131"/>
      <c r="U274" s="131"/>
      <c r="V274" s="131"/>
      <c r="W274" s="131"/>
      <c r="X274" s="131"/>
      <c r="Y274" s="131"/>
      <c r="Z274" s="131"/>
      <c r="AA274" s="131"/>
      <c r="AB274" s="131"/>
      <c r="AC274" s="131"/>
    </row>
    <row r="275" spans="2:29" x14ac:dyDescent="0.2">
      <c r="B275" s="151"/>
      <c r="C275" s="152"/>
      <c r="H275" s="340"/>
      <c r="L275" s="131"/>
      <c r="M275" s="131"/>
      <c r="N275" s="131"/>
      <c r="O275" s="131"/>
      <c r="P275" s="131"/>
      <c r="Q275" s="131"/>
      <c r="R275" s="131"/>
      <c r="S275" s="131"/>
      <c r="T275" s="131"/>
      <c r="U275" s="131"/>
      <c r="V275" s="131"/>
      <c r="W275" s="131"/>
      <c r="X275" s="131"/>
      <c r="Y275" s="131"/>
      <c r="Z275" s="131"/>
      <c r="AA275" s="131"/>
      <c r="AB275" s="131"/>
      <c r="AC275" s="131"/>
    </row>
    <row r="276" spans="2:29" x14ac:dyDescent="0.2">
      <c r="B276" s="151"/>
      <c r="C276" s="152"/>
      <c r="H276" s="340"/>
      <c r="L276" s="131"/>
      <c r="M276" s="131"/>
      <c r="N276" s="131"/>
      <c r="O276" s="131"/>
      <c r="P276" s="131"/>
      <c r="Q276" s="131"/>
      <c r="R276" s="131"/>
      <c r="S276" s="131"/>
      <c r="T276" s="131"/>
      <c r="U276" s="131"/>
      <c r="V276" s="131"/>
      <c r="W276" s="131"/>
      <c r="X276" s="131"/>
      <c r="Y276" s="131"/>
      <c r="Z276" s="131"/>
      <c r="AA276" s="131"/>
      <c r="AB276" s="131"/>
      <c r="AC276" s="131"/>
    </row>
    <row r="277" spans="2:29" x14ac:dyDescent="0.2">
      <c r="B277" s="151"/>
      <c r="C277" s="152"/>
      <c r="H277" s="340"/>
      <c r="L277" s="131"/>
      <c r="M277" s="131"/>
      <c r="N277" s="131"/>
      <c r="O277" s="131"/>
      <c r="P277" s="131"/>
      <c r="Q277" s="131"/>
      <c r="R277" s="131"/>
      <c r="S277" s="131"/>
      <c r="T277" s="131"/>
      <c r="U277" s="131"/>
      <c r="V277" s="131"/>
      <c r="W277" s="131"/>
      <c r="X277" s="131"/>
      <c r="Y277" s="131"/>
      <c r="Z277" s="131"/>
      <c r="AA277" s="131"/>
      <c r="AB277" s="131"/>
      <c r="AC277" s="131"/>
    </row>
    <row r="278" spans="2:29" x14ac:dyDescent="0.2">
      <c r="B278" s="151"/>
      <c r="C278" s="152"/>
      <c r="H278" s="340"/>
      <c r="L278" s="131"/>
      <c r="M278" s="131"/>
      <c r="N278" s="131"/>
      <c r="O278" s="131"/>
      <c r="P278" s="131"/>
      <c r="Q278" s="131"/>
      <c r="R278" s="131"/>
      <c r="S278" s="131"/>
      <c r="T278" s="131"/>
      <c r="U278" s="131"/>
      <c r="V278" s="131"/>
      <c r="W278" s="131"/>
      <c r="X278" s="131"/>
      <c r="Y278" s="131"/>
      <c r="Z278" s="131"/>
      <c r="AA278" s="131"/>
      <c r="AB278" s="131"/>
      <c r="AC278" s="131"/>
    </row>
    <row r="279" spans="2:29" x14ac:dyDescent="0.2">
      <c r="B279" s="151"/>
      <c r="C279" s="152"/>
      <c r="H279" s="340"/>
      <c r="L279" s="131"/>
      <c r="M279" s="131"/>
      <c r="N279" s="131"/>
      <c r="O279" s="131"/>
      <c r="P279" s="131"/>
      <c r="Q279" s="131"/>
      <c r="R279" s="131"/>
      <c r="S279" s="131"/>
      <c r="T279" s="131"/>
      <c r="U279" s="131"/>
      <c r="V279" s="131"/>
      <c r="W279" s="131"/>
      <c r="X279" s="131"/>
      <c r="Y279" s="131"/>
      <c r="Z279" s="131"/>
      <c r="AA279" s="131"/>
      <c r="AB279" s="131"/>
      <c r="AC279" s="131"/>
    </row>
    <row r="280" spans="2:29" x14ac:dyDescent="0.2">
      <c r="B280" s="151"/>
      <c r="C280" s="152"/>
      <c r="H280" s="340"/>
      <c r="L280" s="131"/>
      <c r="M280" s="131"/>
      <c r="N280" s="131"/>
      <c r="O280" s="131"/>
      <c r="P280" s="131"/>
      <c r="Q280" s="131"/>
      <c r="R280" s="131"/>
      <c r="S280" s="131"/>
      <c r="T280" s="131"/>
      <c r="U280" s="131"/>
      <c r="V280" s="131"/>
      <c r="W280" s="131"/>
      <c r="X280" s="131"/>
      <c r="Y280" s="131"/>
      <c r="Z280" s="131"/>
      <c r="AA280" s="131"/>
      <c r="AB280" s="131"/>
      <c r="AC280" s="131"/>
    </row>
    <row r="281" spans="2:29" x14ac:dyDescent="0.2">
      <c r="B281" s="151"/>
      <c r="C281" s="152"/>
      <c r="H281" s="340"/>
      <c r="L281" s="131"/>
      <c r="M281" s="131"/>
      <c r="N281" s="131"/>
      <c r="O281" s="131"/>
      <c r="P281" s="131"/>
      <c r="Q281" s="131"/>
      <c r="R281" s="131"/>
      <c r="S281" s="131"/>
      <c r="T281" s="131"/>
      <c r="U281" s="131"/>
      <c r="V281" s="131"/>
      <c r="W281" s="131"/>
      <c r="X281" s="131"/>
      <c r="Y281" s="131"/>
      <c r="Z281" s="131"/>
      <c r="AA281" s="131"/>
      <c r="AB281" s="131"/>
      <c r="AC281" s="131"/>
    </row>
    <row r="282" spans="2:29" x14ac:dyDescent="0.2">
      <c r="B282" s="151"/>
      <c r="C282" s="152"/>
      <c r="H282" s="340"/>
      <c r="L282" s="131"/>
      <c r="M282" s="131"/>
      <c r="N282" s="131"/>
      <c r="O282" s="131"/>
      <c r="P282" s="131"/>
      <c r="Q282" s="131"/>
      <c r="R282" s="131"/>
      <c r="S282" s="131"/>
      <c r="T282" s="131"/>
      <c r="U282" s="131"/>
      <c r="V282" s="131"/>
      <c r="W282" s="131"/>
      <c r="X282" s="131"/>
      <c r="Y282" s="131"/>
      <c r="Z282" s="131"/>
      <c r="AA282" s="131"/>
      <c r="AB282" s="131"/>
      <c r="AC282" s="131"/>
    </row>
    <row r="283" spans="2:29" x14ac:dyDescent="0.2">
      <c r="B283" s="151"/>
      <c r="C283" s="152"/>
      <c r="H283" s="340"/>
      <c r="L283" s="131"/>
      <c r="M283" s="131"/>
      <c r="N283" s="131"/>
      <c r="O283" s="131"/>
      <c r="P283" s="131"/>
      <c r="Q283" s="131"/>
      <c r="R283" s="131"/>
      <c r="S283" s="131"/>
      <c r="T283" s="131"/>
      <c r="U283" s="131"/>
      <c r="V283" s="131"/>
      <c r="W283" s="131"/>
      <c r="X283" s="131"/>
      <c r="Y283" s="131"/>
      <c r="Z283" s="131"/>
      <c r="AA283" s="131"/>
      <c r="AB283" s="131"/>
      <c r="AC283" s="131"/>
    </row>
    <row r="284" spans="2:29" x14ac:dyDescent="0.2">
      <c r="B284" s="151"/>
      <c r="C284" s="152"/>
      <c r="H284" s="340"/>
      <c r="L284" s="131"/>
      <c r="M284" s="131"/>
      <c r="N284" s="131"/>
      <c r="O284" s="131"/>
      <c r="P284" s="131"/>
      <c r="Q284" s="131"/>
      <c r="R284" s="131"/>
      <c r="S284" s="131"/>
      <c r="T284" s="131"/>
      <c r="U284" s="131"/>
      <c r="V284" s="131"/>
      <c r="W284" s="131"/>
      <c r="X284" s="131"/>
      <c r="Y284" s="131"/>
      <c r="Z284" s="131"/>
      <c r="AA284" s="131"/>
      <c r="AB284" s="131"/>
      <c r="AC284" s="131"/>
    </row>
    <row r="285" spans="2:29" x14ac:dyDescent="0.2">
      <c r="B285" s="151"/>
      <c r="C285" s="152"/>
      <c r="H285" s="340"/>
      <c r="L285" s="131"/>
      <c r="M285" s="131"/>
      <c r="N285" s="131"/>
      <c r="O285" s="131"/>
      <c r="P285" s="131"/>
      <c r="Q285" s="131"/>
      <c r="R285" s="131"/>
      <c r="S285" s="131"/>
      <c r="T285" s="131"/>
      <c r="U285" s="131"/>
      <c r="V285" s="131"/>
      <c r="W285" s="131"/>
      <c r="X285" s="131"/>
      <c r="Y285" s="131"/>
      <c r="Z285" s="131"/>
      <c r="AA285" s="131"/>
      <c r="AB285" s="131"/>
      <c r="AC285" s="131"/>
    </row>
    <row r="286" spans="2:29" x14ac:dyDescent="0.2">
      <c r="B286" s="151"/>
      <c r="C286" s="152"/>
      <c r="H286" s="340"/>
      <c r="L286" s="131"/>
      <c r="M286" s="131"/>
      <c r="N286" s="131"/>
      <c r="O286" s="131"/>
      <c r="P286" s="131"/>
      <c r="Q286" s="131"/>
      <c r="R286" s="131"/>
      <c r="S286" s="131"/>
      <c r="T286" s="131"/>
      <c r="U286" s="131"/>
      <c r="V286" s="131"/>
      <c r="W286" s="131"/>
      <c r="X286" s="131"/>
      <c r="Y286" s="131"/>
      <c r="Z286" s="131"/>
      <c r="AA286" s="131"/>
      <c r="AB286" s="131"/>
      <c r="AC286" s="131"/>
    </row>
    <row r="287" spans="2:29" x14ac:dyDescent="0.2">
      <c r="B287" s="151"/>
      <c r="C287" s="152"/>
      <c r="H287" s="340"/>
      <c r="L287" s="131"/>
      <c r="M287" s="131"/>
      <c r="N287" s="131"/>
      <c r="O287" s="131"/>
      <c r="P287" s="131"/>
      <c r="Q287" s="131"/>
      <c r="R287" s="131"/>
      <c r="S287" s="131"/>
      <c r="T287" s="131"/>
      <c r="U287" s="131"/>
      <c r="V287" s="131"/>
      <c r="W287" s="131"/>
      <c r="X287" s="131"/>
      <c r="Y287" s="131"/>
      <c r="Z287" s="131"/>
      <c r="AA287" s="131"/>
      <c r="AB287" s="131"/>
      <c r="AC287" s="131"/>
    </row>
    <row r="288" spans="2:29" x14ac:dyDescent="0.2">
      <c r="B288" s="151"/>
      <c r="C288" s="152"/>
      <c r="H288" s="340"/>
      <c r="L288" s="131"/>
      <c r="M288" s="131"/>
      <c r="N288" s="131"/>
      <c r="O288" s="131"/>
      <c r="P288" s="131"/>
      <c r="Q288" s="131"/>
      <c r="R288" s="131"/>
      <c r="S288" s="131"/>
      <c r="T288" s="131"/>
      <c r="U288" s="131"/>
      <c r="V288" s="131"/>
      <c r="W288" s="131"/>
      <c r="X288" s="131"/>
      <c r="Y288" s="131"/>
      <c r="Z288" s="131"/>
      <c r="AA288" s="131"/>
      <c r="AB288" s="131"/>
      <c r="AC288" s="131"/>
    </row>
    <row r="289" spans="2:29" x14ac:dyDescent="0.2">
      <c r="B289" s="151"/>
      <c r="C289" s="152"/>
      <c r="H289" s="340"/>
      <c r="L289" s="131"/>
      <c r="M289" s="131"/>
      <c r="N289" s="131"/>
      <c r="O289" s="131"/>
      <c r="P289" s="131"/>
      <c r="Q289" s="131"/>
      <c r="R289" s="131"/>
      <c r="S289" s="131"/>
      <c r="T289" s="131"/>
      <c r="U289" s="131"/>
      <c r="V289" s="131"/>
      <c r="W289" s="131"/>
      <c r="X289" s="131"/>
      <c r="Y289" s="131"/>
      <c r="Z289" s="131"/>
      <c r="AA289" s="131"/>
      <c r="AB289" s="131"/>
      <c r="AC289" s="131"/>
    </row>
    <row r="290" spans="2:29" x14ac:dyDescent="0.2">
      <c r="B290" s="151"/>
      <c r="C290" s="152"/>
      <c r="H290" s="340"/>
      <c r="L290" s="131"/>
      <c r="M290" s="131"/>
      <c r="N290" s="131"/>
      <c r="O290" s="131"/>
      <c r="P290" s="131"/>
      <c r="Q290" s="131"/>
      <c r="R290" s="131"/>
      <c r="S290" s="131"/>
      <c r="T290" s="131"/>
      <c r="U290" s="131"/>
      <c r="V290" s="131"/>
      <c r="W290" s="131"/>
      <c r="X290" s="131"/>
      <c r="Y290" s="131"/>
      <c r="Z290" s="131"/>
      <c r="AA290" s="131"/>
      <c r="AB290" s="131"/>
      <c r="AC290" s="131"/>
    </row>
    <row r="291" spans="2:29" x14ac:dyDescent="0.2">
      <c r="B291" s="151"/>
      <c r="C291" s="152"/>
      <c r="H291" s="340"/>
      <c r="L291" s="131"/>
      <c r="M291" s="131"/>
      <c r="N291" s="131"/>
      <c r="O291" s="131"/>
      <c r="P291" s="131"/>
      <c r="Q291" s="131"/>
      <c r="R291" s="131"/>
      <c r="S291" s="131"/>
      <c r="T291" s="131"/>
      <c r="U291" s="131"/>
      <c r="V291" s="131"/>
      <c r="W291" s="131"/>
      <c r="X291" s="131"/>
      <c r="Y291" s="131"/>
      <c r="Z291" s="131"/>
      <c r="AA291" s="131"/>
      <c r="AB291" s="131"/>
      <c r="AC291" s="131"/>
    </row>
    <row r="292" spans="2:29" x14ac:dyDescent="0.2">
      <c r="B292" s="151"/>
      <c r="C292" s="152"/>
      <c r="H292" s="340"/>
      <c r="L292" s="131"/>
      <c r="M292" s="131"/>
      <c r="N292" s="131"/>
      <c r="O292" s="131"/>
      <c r="P292" s="131"/>
      <c r="Q292" s="131"/>
      <c r="R292" s="131"/>
      <c r="S292" s="131"/>
      <c r="T292" s="131"/>
      <c r="U292" s="131"/>
      <c r="V292" s="131"/>
      <c r="W292" s="131"/>
      <c r="X292" s="131"/>
      <c r="Y292" s="131"/>
      <c r="Z292" s="131"/>
      <c r="AA292" s="131"/>
      <c r="AB292" s="131"/>
      <c r="AC292" s="131"/>
    </row>
    <row r="293" spans="2:29" x14ac:dyDescent="0.2">
      <c r="B293" s="151"/>
      <c r="C293" s="152"/>
      <c r="H293" s="340"/>
      <c r="L293" s="131"/>
      <c r="M293" s="131"/>
      <c r="N293" s="131"/>
      <c r="O293" s="131"/>
      <c r="P293" s="131"/>
      <c r="Q293" s="131"/>
      <c r="R293" s="131"/>
      <c r="S293" s="131"/>
      <c r="T293" s="131"/>
      <c r="U293" s="131"/>
      <c r="V293" s="131"/>
      <c r="W293" s="131"/>
      <c r="X293" s="131"/>
      <c r="Y293" s="131"/>
      <c r="Z293" s="131"/>
      <c r="AA293" s="131"/>
      <c r="AB293" s="131"/>
      <c r="AC293" s="131"/>
    </row>
    <row r="294" spans="2:29" x14ac:dyDescent="0.2">
      <c r="B294" s="151"/>
      <c r="C294" s="152"/>
      <c r="H294" s="340"/>
      <c r="L294" s="131"/>
      <c r="M294" s="131"/>
      <c r="N294" s="131"/>
      <c r="O294" s="131"/>
      <c r="P294" s="131"/>
      <c r="Q294" s="131"/>
      <c r="R294" s="131"/>
      <c r="S294" s="131"/>
      <c r="T294" s="131"/>
      <c r="U294" s="131"/>
      <c r="V294" s="131"/>
      <c r="W294" s="131"/>
      <c r="X294" s="131"/>
      <c r="Y294" s="131"/>
      <c r="Z294" s="131"/>
      <c r="AA294" s="131"/>
      <c r="AB294" s="131"/>
      <c r="AC294" s="131"/>
    </row>
    <row r="295" spans="2:29" x14ac:dyDescent="0.2">
      <c r="B295" s="151"/>
      <c r="C295" s="152"/>
      <c r="H295" s="340"/>
      <c r="L295" s="131"/>
      <c r="M295" s="131"/>
      <c r="N295" s="131"/>
      <c r="O295" s="131"/>
      <c r="P295" s="131"/>
      <c r="Q295" s="131"/>
      <c r="R295" s="131"/>
      <c r="S295" s="131"/>
      <c r="T295" s="131"/>
      <c r="U295" s="131"/>
      <c r="V295" s="131"/>
      <c r="W295" s="131"/>
      <c r="X295" s="131"/>
      <c r="Y295" s="131"/>
      <c r="Z295" s="131"/>
      <c r="AA295" s="131"/>
      <c r="AB295" s="131"/>
      <c r="AC295" s="131"/>
    </row>
    <row r="296" spans="2:29" x14ac:dyDescent="0.2">
      <c r="B296" s="151"/>
      <c r="C296" s="152"/>
      <c r="H296" s="340"/>
      <c r="L296" s="131"/>
      <c r="M296" s="131"/>
      <c r="N296" s="131"/>
      <c r="O296" s="131"/>
      <c r="P296" s="131"/>
      <c r="Q296" s="131"/>
      <c r="R296" s="131"/>
      <c r="S296" s="131"/>
      <c r="T296" s="131"/>
      <c r="U296" s="131"/>
      <c r="V296" s="131"/>
      <c r="W296" s="131"/>
      <c r="X296" s="131"/>
      <c r="Y296" s="131"/>
      <c r="Z296" s="131"/>
      <c r="AA296" s="131"/>
      <c r="AB296" s="131"/>
      <c r="AC296" s="131"/>
    </row>
    <row r="297" spans="2:29" x14ac:dyDescent="0.2">
      <c r="B297" s="151"/>
      <c r="C297" s="152"/>
      <c r="H297" s="340"/>
      <c r="L297" s="131"/>
      <c r="M297" s="131"/>
      <c r="N297" s="131"/>
      <c r="O297" s="131"/>
      <c r="P297" s="131"/>
      <c r="Q297" s="131"/>
      <c r="R297" s="131"/>
      <c r="S297" s="131"/>
      <c r="T297" s="131"/>
      <c r="U297" s="131"/>
      <c r="V297" s="131"/>
      <c r="W297" s="131"/>
      <c r="X297" s="131"/>
      <c r="Y297" s="131"/>
      <c r="Z297" s="131"/>
      <c r="AA297" s="131"/>
      <c r="AB297" s="131"/>
      <c r="AC297" s="131"/>
    </row>
    <row r="298" spans="2:29" x14ac:dyDescent="0.2">
      <c r="B298" s="151"/>
      <c r="C298" s="152"/>
      <c r="H298" s="340"/>
      <c r="L298" s="131"/>
      <c r="M298" s="131"/>
      <c r="N298" s="131"/>
      <c r="O298" s="131"/>
      <c r="P298" s="131"/>
      <c r="Q298" s="131"/>
      <c r="R298" s="131"/>
      <c r="S298" s="131"/>
      <c r="T298" s="131"/>
      <c r="U298" s="131"/>
      <c r="V298" s="131"/>
      <c r="W298" s="131"/>
      <c r="X298" s="131"/>
      <c r="Y298" s="131"/>
      <c r="Z298" s="131"/>
      <c r="AA298" s="131"/>
      <c r="AB298" s="131"/>
      <c r="AC298" s="131"/>
    </row>
    <row r="299" spans="2:29" x14ac:dyDescent="0.2">
      <c r="B299" s="151"/>
      <c r="C299" s="152"/>
      <c r="H299" s="340"/>
      <c r="L299" s="131"/>
      <c r="M299" s="131"/>
      <c r="N299" s="131"/>
      <c r="O299" s="131"/>
      <c r="P299" s="131"/>
      <c r="Q299" s="131"/>
      <c r="R299" s="131"/>
      <c r="S299" s="131"/>
      <c r="T299" s="131"/>
      <c r="U299" s="131"/>
      <c r="V299" s="131"/>
      <c r="W299" s="131"/>
      <c r="X299" s="131"/>
      <c r="Y299" s="131"/>
      <c r="Z299" s="131"/>
      <c r="AA299" s="131"/>
      <c r="AB299" s="131"/>
      <c r="AC299" s="131"/>
    </row>
    <row r="300" spans="2:29" x14ac:dyDescent="0.2">
      <c r="B300" s="151"/>
      <c r="C300" s="152"/>
      <c r="H300" s="340"/>
      <c r="L300" s="131"/>
      <c r="M300" s="131"/>
      <c r="N300" s="131"/>
      <c r="O300" s="131"/>
      <c r="P300" s="131"/>
      <c r="Q300" s="131"/>
      <c r="R300" s="131"/>
      <c r="S300" s="131"/>
      <c r="T300" s="131"/>
      <c r="U300" s="131"/>
      <c r="V300" s="131"/>
      <c r="W300" s="131"/>
      <c r="X300" s="131"/>
      <c r="Y300" s="131"/>
      <c r="Z300" s="131"/>
      <c r="AA300" s="131"/>
      <c r="AB300" s="131"/>
      <c r="AC300" s="131"/>
    </row>
    <row r="301" spans="2:29" x14ac:dyDescent="0.2">
      <c r="B301" s="151"/>
      <c r="C301" s="152"/>
      <c r="H301" s="340"/>
      <c r="L301" s="131"/>
      <c r="M301" s="131"/>
      <c r="N301" s="131"/>
      <c r="O301" s="131"/>
      <c r="P301" s="131"/>
      <c r="Q301" s="131"/>
      <c r="R301" s="131"/>
      <c r="S301" s="131"/>
      <c r="T301" s="131"/>
      <c r="U301" s="131"/>
      <c r="V301" s="131"/>
      <c r="W301" s="131"/>
      <c r="X301" s="131"/>
      <c r="Y301" s="131"/>
      <c r="Z301" s="131"/>
      <c r="AA301" s="131"/>
      <c r="AB301" s="131"/>
      <c r="AC301" s="131"/>
    </row>
    <row r="302" spans="2:29" x14ac:dyDescent="0.2">
      <c r="B302" s="151"/>
      <c r="C302" s="152"/>
      <c r="H302" s="340"/>
      <c r="L302" s="131"/>
      <c r="M302" s="131"/>
      <c r="N302" s="131"/>
      <c r="O302" s="131"/>
      <c r="P302" s="131"/>
      <c r="Q302" s="131"/>
      <c r="R302" s="131"/>
      <c r="S302" s="131"/>
      <c r="T302" s="131"/>
      <c r="U302" s="131"/>
      <c r="V302" s="131"/>
      <c r="W302" s="131"/>
      <c r="X302" s="131"/>
      <c r="Y302" s="131"/>
      <c r="Z302" s="131"/>
      <c r="AA302" s="131"/>
      <c r="AB302" s="131"/>
      <c r="AC302" s="131"/>
    </row>
    <row r="303" spans="2:29" x14ac:dyDescent="0.2">
      <c r="B303" s="151"/>
      <c r="C303" s="152"/>
      <c r="H303" s="340"/>
      <c r="L303" s="131"/>
      <c r="M303" s="131"/>
      <c r="N303" s="131"/>
      <c r="O303" s="131"/>
      <c r="P303" s="131"/>
      <c r="Q303" s="131"/>
      <c r="R303" s="131"/>
      <c r="S303" s="131"/>
      <c r="T303" s="131"/>
      <c r="U303" s="131"/>
      <c r="V303" s="131"/>
      <c r="W303" s="131"/>
      <c r="X303" s="131"/>
      <c r="Y303" s="131"/>
      <c r="Z303" s="131"/>
      <c r="AA303" s="131"/>
      <c r="AB303" s="131"/>
      <c r="AC303" s="131"/>
    </row>
    <row r="304" spans="2:29" x14ac:dyDescent="0.2">
      <c r="B304" s="151"/>
      <c r="C304" s="152"/>
      <c r="H304" s="340"/>
      <c r="L304" s="131"/>
      <c r="M304" s="131"/>
      <c r="N304" s="131"/>
      <c r="O304" s="131"/>
      <c r="P304" s="131"/>
      <c r="Q304" s="131"/>
      <c r="R304" s="131"/>
      <c r="S304" s="131"/>
      <c r="T304" s="131"/>
      <c r="U304" s="131"/>
      <c r="V304" s="131"/>
      <c r="W304" s="131"/>
      <c r="X304" s="131"/>
      <c r="Y304" s="131"/>
      <c r="Z304" s="131"/>
      <c r="AA304" s="131"/>
      <c r="AB304" s="131"/>
      <c r="AC304" s="131"/>
    </row>
    <row r="305" spans="2:29" x14ac:dyDescent="0.2">
      <c r="B305" s="151"/>
      <c r="C305" s="152"/>
      <c r="H305" s="340"/>
      <c r="L305" s="131"/>
      <c r="M305" s="131"/>
      <c r="N305" s="131"/>
      <c r="O305" s="131"/>
      <c r="P305" s="131"/>
      <c r="Q305" s="131"/>
      <c r="R305" s="131"/>
      <c r="S305" s="131"/>
      <c r="T305" s="131"/>
      <c r="U305" s="131"/>
      <c r="V305" s="131"/>
      <c r="W305" s="131"/>
      <c r="X305" s="131"/>
      <c r="Y305" s="131"/>
      <c r="Z305" s="131"/>
      <c r="AA305" s="131"/>
      <c r="AB305" s="131"/>
      <c r="AC305" s="131"/>
    </row>
    <row r="306" spans="2:29" x14ac:dyDescent="0.2">
      <c r="B306" s="151"/>
      <c r="C306" s="152"/>
      <c r="H306" s="340"/>
      <c r="L306" s="131"/>
      <c r="M306" s="131"/>
      <c r="N306" s="131"/>
      <c r="O306" s="131"/>
      <c r="P306" s="131"/>
      <c r="Q306" s="131"/>
      <c r="R306" s="131"/>
      <c r="S306" s="131"/>
      <c r="T306" s="131"/>
      <c r="U306" s="131"/>
      <c r="V306" s="131"/>
      <c r="W306" s="131"/>
      <c r="X306" s="131"/>
      <c r="Y306" s="131"/>
      <c r="Z306" s="131"/>
      <c r="AA306" s="131"/>
      <c r="AB306" s="131"/>
      <c r="AC306" s="131"/>
    </row>
    <row r="307" spans="2:29" x14ac:dyDescent="0.2">
      <c r="B307" s="151"/>
      <c r="C307" s="152"/>
      <c r="H307" s="340"/>
      <c r="L307" s="131"/>
      <c r="M307" s="131"/>
      <c r="N307" s="131"/>
      <c r="O307" s="131"/>
      <c r="P307" s="131"/>
      <c r="Q307" s="131"/>
      <c r="R307" s="131"/>
      <c r="S307" s="131"/>
      <c r="T307" s="131"/>
      <c r="U307" s="131"/>
      <c r="V307" s="131"/>
      <c r="W307" s="131"/>
      <c r="X307" s="131"/>
      <c r="Y307" s="131"/>
      <c r="Z307" s="131"/>
      <c r="AA307" s="131"/>
      <c r="AB307" s="131"/>
      <c r="AC307" s="131"/>
    </row>
    <row r="308" spans="2:29" x14ac:dyDescent="0.2">
      <c r="B308" s="151"/>
      <c r="C308" s="152"/>
      <c r="H308" s="340"/>
      <c r="L308" s="131"/>
      <c r="M308" s="131"/>
      <c r="N308" s="131"/>
      <c r="O308" s="131"/>
      <c r="P308" s="131"/>
      <c r="Q308" s="131"/>
      <c r="R308" s="131"/>
      <c r="S308" s="131"/>
      <c r="T308" s="131"/>
      <c r="U308" s="131"/>
      <c r="V308" s="131"/>
      <c r="W308" s="131"/>
      <c r="X308" s="131"/>
      <c r="Y308" s="131"/>
      <c r="Z308" s="131"/>
      <c r="AA308" s="131"/>
      <c r="AB308" s="131"/>
      <c r="AC308" s="131"/>
    </row>
    <row r="309" spans="2:29" x14ac:dyDescent="0.2">
      <c r="B309" s="151"/>
      <c r="C309" s="152"/>
      <c r="H309" s="340"/>
      <c r="L309" s="131"/>
      <c r="M309" s="131"/>
      <c r="N309" s="131"/>
      <c r="O309" s="131"/>
      <c r="P309" s="131"/>
      <c r="Q309" s="131"/>
      <c r="R309" s="131"/>
      <c r="S309" s="131"/>
      <c r="T309" s="131"/>
      <c r="U309" s="131"/>
      <c r="V309" s="131"/>
      <c r="W309" s="131"/>
      <c r="X309" s="131"/>
      <c r="Y309" s="131"/>
      <c r="Z309" s="131"/>
      <c r="AA309" s="131"/>
      <c r="AB309" s="131"/>
      <c r="AC309" s="131"/>
    </row>
    <row r="310" spans="2:29" x14ac:dyDescent="0.2">
      <c r="B310" s="151"/>
      <c r="C310" s="152"/>
      <c r="H310" s="340"/>
      <c r="L310" s="131"/>
      <c r="M310" s="131"/>
      <c r="N310" s="131"/>
      <c r="O310" s="131"/>
      <c r="P310" s="131"/>
      <c r="Q310" s="131"/>
      <c r="R310" s="131"/>
      <c r="S310" s="131"/>
      <c r="T310" s="131"/>
      <c r="U310" s="131"/>
      <c r="V310" s="131"/>
      <c r="W310" s="131"/>
      <c r="X310" s="131"/>
      <c r="Y310" s="131"/>
      <c r="Z310" s="131"/>
      <c r="AA310" s="131"/>
      <c r="AB310" s="131"/>
      <c r="AC310" s="131"/>
    </row>
    <row r="311" spans="2:29" x14ac:dyDescent="0.2">
      <c r="B311" s="151"/>
      <c r="C311" s="152"/>
      <c r="H311" s="340"/>
      <c r="L311" s="131"/>
      <c r="M311" s="131"/>
      <c r="N311" s="131"/>
      <c r="O311" s="131"/>
      <c r="P311" s="131"/>
      <c r="Q311" s="131"/>
      <c r="R311" s="131"/>
      <c r="S311" s="131"/>
      <c r="T311" s="131"/>
      <c r="U311" s="131"/>
      <c r="V311" s="131"/>
      <c r="W311" s="131"/>
      <c r="X311" s="131"/>
      <c r="Y311" s="131"/>
      <c r="Z311" s="131"/>
      <c r="AA311" s="131"/>
      <c r="AB311" s="131"/>
      <c r="AC311" s="131"/>
    </row>
    <row r="312" spans="2:29" x14ac:dyDescent="0.2">
      <c r="B312" s="151"/>
      <c r="C312" s="152"/>
      <c r="H312" s="340"/>
      <c r="L312" s="131"/>
      <c r="M312" s="131"/>
      <c r="N312" s="131"/>
      <c r="O312" s="131"/>
      <c r="P312" s="131"/>
      <c r="Q312" s="131"/>
      <c r="R312" s="131"/>
      <c r="S312" s="131"/>
      <c r="T312" s="131"/>
      <c r="U312" s="131"/>
      <c r="V312" s="131"/>
      <c r="W312" s="131"/>
      <c r="X312" s="131"/>
      <c r="Y312" s="131"/>
      <c r="Z312" s="131"/>
      <c r="AA312" s="131"/>
      <c r="AB312" s="131"/>
      <c r="AC312" s="131"/>
    </row>
    <row r="313" spans="2:29" x14ac:dyDescent="0.2">
      <c r="B313" s="151"/>
      <c r="C313" s="152"/>
      <c r="H313" s="340"/>
      <c r="L313" s="131"/>
      <c r="M313" s="131"/>
      <c r="N313" s="131"/>
      <c r="O313" s="131"/>
      <c r="P313" s="131"/>
      <c r="Q313" s="131"/>
      <c r="R313" s="131"/>
      <c r="S313" s="131"/>
      <c r="T313" s="131"/>
      <c r="U313" s="131"/>
      <c r="V313" s="131"/>
      <c r="W313" s="131"/>
      <c r="X313" s="131"/>
      <c r="Y313" s="131"/>
      <c r="Z313" s="131"/>
      <c r="AA313" s="131"/>
      <c r="AB313" s="131"/>
      <c r="AC313" s="131"/>
    </row>
    <row r="314" spans="2:29" x14ac:dyDescent="0.2">
      <c r="B314" s="151"/>
      <c r="C314" s="152"/>
      <c r="H314" s="340"/>
      <c r="L314" s="131"/>
      <c r="M314" s="131"/>
      <c r="N314" s="131"/>
      <c r="O314" s="131"/>
      <c r="P314" s="131"/>
      <c r="Q314" s="131"/>
      <c r="R314" s="131"/>
      <c r="S314" s="131"/>
      <c r="T314" s="131"/>
      <c r="U314" s="131"/>
      <c r="V314" s="131"/>
      <c r="W314" s="131"/>
      <c r="X314" s="131"/>
      <c r="Y314" s="131"/>
      <c r="Z314" s="131"/>
      <c r="AA314" s="131"/>
      <c r="AB314" s="131"/>
      <c r="AC314" s="131"/>
    </row>
    <row r="315" spans="2:29" x14ac:dyDescent="0.2">
      <c r="B315" s="151"/>
      <c r="C315" s="152"/>
      <c r="H315" s="340"/>
      <c r="L315" s="131"/>
      <c r="M315" s="131"/>
      <c r="N315" s="131"/>
      <c r="O315" s="131"/>
      <c r="P315" s="131"/>
      <c r="Q315" s="131"/>
      <c r="R315" s="131"/>
      <c r="S315" s="131"/>
      <c r="T315" s="131"/>
      <c r="U315" s="131"/>
      <c r="V315" s="131"/>
      <c r="W315" s="131"/>
      <c r="X315" s="131"/>
      <c r="Y315" s="131"/>
      <c r="Z315" s="131"/>
      <c r="AA315" s="131"/>
      <c r="AB315" s="131"/>
      <c r="AC315" s="131"/>
    </row>
    <row r="316" spans="2:29" x14ac:dyDescent="0.2">
      <c r="B316" s="151"/>
      <c r="C316" s="152"/>
      <c r="H316" s="340"/>
      <c r="L316" s="131"/>
      <c r="M316" s="131"/>
      <c r="N316" s="131"/>
      <c r="O316" s="131"/>
      <c r="P316" s="131"/>
      <c r="Q316" s="131"/>
      <c r="R316" s="131"/>
      <c r="S316" s="131"/>
      <c r="T316" s="131"/>
      <c r="U316" s="131"/>
      <c r="V316" s="131"/>
      <c r="W316" s="131"/>
      <c r="X316" s="131"/>
      <c r="Y316" s="131"/>
      <c r="Z316" s="131"/>
      <c r="AA316" s="131"/>
      <c r="AB316" s="131"/>
      <c r="AC316" s="131"/>
    </row>
    <row r="317" spans="2:29" x14ac:dyDescent="0.2">
      <c r="B317" s="151"/>
      <c r="C317" s="152"/>
      <c r="H317" s="340"/>
      <c r="L317" s="131"/>
      <c r="M317" s="131"/>
      <c r="N317" s="131"/>
      <c r="O317" s="131"/>
      <c r="P317" s="131"/>
      <c r="Q317" s="131"/>
      <c r="R317" s="131"/>
      <c r="S317" s="131"/>
      <c r="T317" s="131"/>
      <c r="U317" s="131"/>
      <c r="V317" s="131"/>
      <c r="W317" s="131"/>
      <c r="X317" s="131"/>
      <c r="Y317" s="131"/>
      <c r="Z317" s="131"/>
      <c r="AA317" s="131"/>
      <c r="AB317" s="131"/>
      <c r="AC317" s="131"/>
    </row>
    <row r="318" spans="2:29" x14ac:dyDescent="0.2">
      <c r="B318" s="151"/>
      <c r="C318" s="152"/>
      <c r="H318" s="340"/>
      <c r="L318" s="131"/>
      <c r="M318" s="131"/>
      <c r="N318" s="131"/>
      <c r="O318" s="131"/>
      <c r="P318" s="131"/>
      <c r="Q318" s="131"/>
      <c r="R318" s="131"/>
      <c r="S318" s="131"/>
      <c r="T318" s="131"/>
      <c r="U318" s="131"/>
      <c r="V318" s="131"/>
      <c r="W318" s="131"/>
      <c r="X318" s="131"/>
      <c r="Y318" s="131"/>
      <c r="Z318" s="131"/>
      <c r="AA318" s="131"/>
      <c r="AB318" s="131"/>
      <c r="AC318" s="131"/>
    </row>
    <row r="319" spans="2:29" x14ac:dyDescent="0.2">
      <c r="B319" s="151"/>
      <c r="C319" s="152"/>
      <c r="H319" s="340"/>
      <c r="L319" s="131"/>
      <c r="M319" s="131"/>
      <c r="N319" s="131"/>
      <c r="O319" s="131"/>
      <c r="P319" s="131"/>
      <c r="Q319" s="131"/>
      <c r="R319" s="131"/>
      <c r="S319" s="131"/>
      <c r="T319" s="131"/>
      <c r="U319" s="131"/>
      <c r="V319" s="131"/>
      <c r="W319" s="131"/>
      <c r="X319" s="131"/>
      <c r="Y319" s="131"/>
      <c r="Z319" s="131"/>
      <c r="AA319" s="131"/>
      <c r="AB319" s="131"/>
      <c r="AC319" s="131"/>
    </row>
    <row r="320" spans="2:29" x14ac:dyDescent="0.2">
      <c r="B320" s="151"/>
      <c r="C320" s="152"/>
      <c r="H320" s="340"/>
      <c r="L320" s="131"/>
      <c r="M320" s="131"/>
      <c r="N320" s="131"/>
      <c r="O320" s="131"/>
      <c r="P320" s="131"/>
      <c r="Q320" s="131"/>
      <c r="R320" s="131"/>
      <c r="S320" s="131"/>
      <c r="T320" s="131"/>
      <c r="U320" s="131"/>
      <c r="V320" s="131"/>
      <c r="W320" s="131"/>
      <c r="X320" s="131"/>
      <c r="Y320" s="131"/>
      <c r="Z320" s="131"/>
      <c r="AA320" s="131"/>
      <c r="AB320" s="131"/>
      <c r="AC320" s="131"/>
    </row>
    <row r="321" spans="2:29" x14ac:dyDescent="0.2">
      <c r="B321" s="151"/>
      <c r="C321" s="152"/>
      <c r="H321" s="340"/>
      <c r="L321" s="131"/>
      <c r="M321" s="131"/>
      <c r="N321" s="131"/>
      <c r="O321" s="131"/>
      <c r="P321" s="131"/>
      <c r="Q321" s="131"/>
      <c r="R321" s="131"/>
      <c r="S321" s="131"/>
      <c r="T321" s="131"/>
      <c r="U321" s="131"/>
      <c r="V321" s="131"/>
      <c r="W321" s="131"/>
      <c r="X321" s="131"/>
      <c r="Y321" s="131"/>
      <c r="Z321" s="131"/>
      <c r="AA321" s="131"/>
      <c r="AB321" s="131"/>
      <c r="AC321" s="131"/>
    </row>
    <row r="322" spans="2:29" x14ac:dyDescent="0.2">
      <c r="B322" s="151"/>
      <c r="C322" s="152"/>
      <c r="H322" s="340"/>
      <c r="L322" s="131"/>
      <c r="M322" s="131"/>
      <c r="N322" s="131"/>
      <c r="O322" s="131"/>
      <c r="P322" s="131"/>
      <c r="Q322" s="131"/>
      <c r="R322" s="131"/>
      <c r="S322" s="131"/>
      <c r="T322" s="131"/>
      <c r="U322" s="131"/>
      <c r="V322" s="131"/>
      <c r="W322" s="131"/>
      <c r="X322" s="131"/>
      <c r="Y322" s="131"/>
      <c r="Z322" s="131"/>
      <c r="AA322" s="131"/>
      <c r="AB322" s="131"/>
      <c r="AC322" s="131"/>
    </row>
    <row r="323" spans="2:29" x14ac:dyDescent="0.2">
      <c r="B323" s="151"/>
      <c r="C323" s="152"/>
      <c r="H323" s="340"/>
      <c r="L323" s="131"/>
      <c r="M323" s="131"/>
      <c r="N323" s="131"/>
      <c r="O323" s="131"/>
      <c r="P323" s="131"/>
      <c r="Q323" s="131"/>
      <c r="R323" s="131"/>
      <c r="S323" s="131"/>
      <c r="T323" s="131"/>
      <c r="U323" s="131"/>
      <c r="V323" s="131"/>
      <c r="W323" s="131"/>
      <c r="X323" s="131"/>
      <c r="Y323" s="131"/>
      <c r="Z323" s="131"/>
      <c r="AA323" s="131"/>
      <c r="AB323" s="131"/>
      <c r="AC323" s="131"/>
    </row>
    <row r="324" spans="2:29" x14ac:dyDescent="0.2">
      <c r="B324" s="151"/>
      <c r="C324" s="152"/>
      <c r="H324" s="340"/>
      <c r="L324" s="131"/>
      <c r="M324" s="131"/>
      <c r="N324" s="131"/>
      <c r="O324" s="131"/>
      <c r="P324" s="131"/>
      <c r="Q324" s="131"/>
      <c r="R324" s="131"/>
      <c r="S324" s="131"/>
      <c r="T324" s="131"/>
      <c r="U324" s="131"/>
      <c r="V324" s="131"/>
      <c r="W324" s="131"/>
      <c r="X324" s="131"/>
      <c r="Y324" s="131"/>
      <c r="Z324" s="131"/>
      <c r="AA324" s="131"/>
      <c r="AB324" s="131"/>
      <c r="AC324" s="131"/>
    </row>
    <row r="325" spans="2:29" x14ac:dyDescent="0.2">
      <c r="B325" s="151"/>
      <c r="C325" s="152"/>
      <c r="H325" s="340"/>
      <c r="L325" s="131"/>
      <c r="M325" s="131"/>
      <c r="N325" s="131"/>
      <c r="O325" s="131"/>
      <c r="P325" s="131"/>
      <c r="Q325" s="131"/>
      <c r="R325" s="131"/>
      <c r="S325" s="131"/>
      <c r="T325" s="131"/>
      <c r="U325" s="131"/>
      <c r="V325" s="131"/>
      <c r="W325" s="131"/>
      <c r="X325" s="131"/>
      <c r="Y325" s="131"/>
      <c r="Z325" s="131"/>
      <c r="AA325" s="131"/>
      <c r="AB325" s="131"/>
      <c r="AC325" s="131"/>
    </row>
    <row r="326" spans="2:29" x14ac:dyDescent="0.2">
      <c r="B326" s="151"/>
      <c r="C326" s="152"/>
      <c r="H326" s="340"/>
      <c r="L326" s="131"/>
      <c r="M326" s="131"/>
      <c r="N326" s="131"/>
      <c r="O326" s="131"/>
      <c r="P326" s="131"/>
      <c r="Q326" s="131"/>
      <c r="R326" s="131"/>
      <c r="S326" s="131"/>
      <c r="T326" s="131"/>
      <c r="U326" s="131"/>
      <c r="V326" s="131"/>
      <c r="W326" s="131"/>
      <c r="X326" s="131"/>
      <c r="Y326" s="131"/>
      <c r="Z326" s="131"/>
      <c r="AA326" s="131"/>
      <c r="AB326" s="131"/>
      <c r="AC326" s="131"/>
    </row>
    <row r="327" spans="2:29" x14ac:dyDescent="0.2">
      <c r="B327" s="151"/>
      <c r="C327" s="152"/>
      <c r="H327" s="340"/>
      <c r="L327" s="131"/>
      <c r="M327" s="131"/>
      <c r="N327" s="131"/>
      <c r="O327" s="131"/>
      <c r="P327" s="131"/>
      <c r="Q327" s="131"/>
      <c r="R327" s="131"/>
      <c r="S327" s="131"/>
      <c r="T327" s="131"/>
      <c r="U327" s="131"/>
      <c r="V327" s="131"/>
      <c r="W327" s="131"/>
      <c r="X327" s="131"/>
      <c r="Y327" s="131"/>
      <c r="Z327" s="131"/>
      <c r="AA327" s="131"/>
      <c r="AB327" s="131"/>
      <c r="AC327" s="131"/>
    </row>
    <row r="328" spans="2:29" x14ac:dyDescent="0.2">
      <c r="B328" s="151"/>
      <c r="C328" s="152"/>
      <c r="H328" s="340"/>
      <c r="L328" s="131"/>
      <c r="M328" s="131"/>
      <c r="N328" s="131"/>
      <c r="O328" s="131"/>
      <c r="P328" s="131"/>
      <c r="Q328" s="131"/>
      <c r="R328" s="131"/>
      <c r="S328" s="131"/>
      <c r="T328" s="131"/>
      <c r="U328" s="131"/>
      <c r="V328" s="131"/>
      <c r="W328" s="131"/>
      <c r="X328" s="131"/>
      <c r="Y328" s="131"/>
      <c r="Z328" s="131"/>
      <c r="AA328" s="131"/>
      <c r="AB328" s="131"/>
      <c r="AC328" s="131"/>
    </row>
    <row r="329" spans="2:29" x14ac:dyDescent="0.2">
      <c r="B329" s="151"/>
      <c r="C329" s="152"/>
      <c r="H329" s="340"/>
      <c r="L329" s="131"/>
      <c r="M329" s="131"/>
      <c r="N329" s="131"/>
      <c r="O329" s="131"/>
      <c r="P329" s="131"/>
      <c r="Q329" s="131"/>
      <c r="R329" s="131"/>
      <c r="S329" s="131"/>
      <c r="T329" s="131"/>
      <c r="U329" s="131"/>
      <c r="V329" s="131"/>
      <c r="W329" s="131"/>
      <c r="X329" s="131"/>
      <c r="Y329" s="131"/>
      <c r="Z329" s="131"/>
      <c r="AA329" s="131"/>
      <c r="AB329" s="131"/>
      <c r="AC329" s="131"/>
    </row>
    <row r="330" spans="2:29" x14ac:dyDescent="0.2">
      <c r="B330" s="151"/>
      <c r="C330" s="152"/>
      <c r="H330" s="340"/>
      <c r="L330" s="131"/>
      <c r="M330" s="131"/>
      <c r="N330" s="131"/>
      <c r="O330" s="131"/>
      <c r="P330" s="131"/>
      <c r="Q330" s="131"/>
      <c r="R330" s="131"/>
      <c r="S330" s="131"/>
      <c r="T330" s="131"/>
      <c r="U330" s="131"/>
      <c r="V330" s="131"/>
      <c r="W330" s="131"/>
      <c r="X330" s="131"/>
      <c r="Y330" s="131"/>
      <c r="Z330" s="131"/>
      <c r="AA330" s="131"/>
      <c r="AB330" s="131"/>
      <c r="AC330" s="131"/>
    </row>
    <row r="331" spans="2:29" x14ac:dyDescent="0.2">
      <c r="B331" s="151"/>
      <c r="C331" s="152"/>
      <c r="H331" s="340"/>
      <c r="L331" s="131"/>
      <c r="M331" s="131"/>
      <c r="N331" s="131"/>
      <c r="O331" s="131"/>
      <c r="P331" s="131"/>
      <c r="Q331" s="131"/>
      <c r="R331" s="131"/>
      <c r="S331" s="131"/>
      <c r="T331" s="131"/>
      <c r="U331" s="131"/>
      <c r="V331" s="131"/>
      <c r="W331" s="131"/>
      <c r="X331" s="131"/>
      <c r="Y331" s="131"/>
      <c r="Z331" s="131"/>
      <c r="AA331" s="131"/>
      <c r="AB331" s="131"/>
      <c r="AC331" s="131"/>
    </row>
    <row r="332" spans="2:29" x14ac:dyDescent="0.2">
      <c r="B332" s="151"/>
      <c r="C332" s="152"/>
      <c r="H332" s="340"/>
      <c r="L332" s="131"/>
      <c r="M332" s="131"/>
      <c r="N332" s="131"/>
      <c r="O332" s="131"/>
      <c r="P332" s="131"/>
      <c r="Q332" s="131"/>
      <c r="R332" s="131"/>
      <c r="S332" s="131"/>
      <c r="T332" s="131"/>
      <c r="U332" s="131"/>
      <c r="V332" s="131"/>
      <c r="W332" s="131"/>
      <c r="X332" s="131"/>
      <c r="Y332" s="131"/>
      <c r="Z332" s="131"/>
      <c r="AA332" s="131"/>
      <c r="AB332" s="131"/>
      <c r="AC332" s="131"/>
    </row>
    <row r="333" spans="2:29" x14ac:dyDescent="0.2">
      <c r="B333" s="151"/>
      <c r="C333" s="152"/>
      <c r="H333" s="340"/>
      <c r="L333" s="131"/>
      <c r="M333" s="131"/>
      <c r="N333" s="131"/>
      <c r="O333" s="131"/>
      <c r="P333" s="131"/>
      <c r="Q333" s="131"/>
      <c r="R333" s="131"/>
      <c r="S333" s="131"/>
      <c r="T333" s="131"/>
      <c r="U333" s="131"/>
      <c r="V333" s="131"/>
      <c r="W333" s="131"/>
      <c r="X333" s="131"/>
      <c r="Y333" s="131"/>
      <c r="Z333" s="131"/>
      <c r="AA333" s="131"/>
      <c r="AB333" s="131"/>
      <c r="AC333" s="131"/>
    </row>
    <row r="334" spans="2:29" x14ac:dyDescent="0.2">
      <c r="B334" s="151"/>
      <c r="C334" s="152"/>
      <c r="H334" s="340"/>
      <c r="L334" s="131"/>
      <c r="M334" s="131"/>
      <c r="N334" s="131"/>
      <c r="O334" s="131"/>
      <c r="P334" s="131"/>
      <c r="Q334" s="131"/>
      <c r="R334" s="131"/>
      <c r="S334" s="131"/>
      <c r="T334" s="131"/>
      <c r="U334" s="131"/>
      <c r="V334" s="131"/>
      <c r="W334" s="131"/>
      <c r="X334" s="131"/>
      <c r="Y334" s="131"/>
      <c r="Z334" s="131"/>
      <c r="AA334" s="131"/>
      <c r="AB334" s="131"/>
      <c r="AC334" s="131"/>
    </row>
    <row r="335" spans="2:29" x14ac:dyDescent="0.2">
      <c r="B335" s="151"/>
      <c r="C335" s="152"/>
      <c r="H335" s="340"/>
      <c r="L335" s="131"/>
      <c r="M335" s="131"/>
      <c r="N335" s="131"/>
      <c r="O335" s="131"/>
      <c r="P335" s="131"/>
      <c r="Q335" s="131"/>
      <c r="R335" s="131"/>
      <c r="S335" s="131"/>
      <c r="T335" s="131"/>
      <c r="U335" s="131"/>
      <c r="V335" s="131"/>
      <c r="W335" s="131"/>
      <c r="X335" s="131"/>
      <c r="Y335" s="131"/>
      <c r="Z335" s="131"/>
      <c r="AA335" s="131"/>
      <c r="AB335" s="131"/>
      <c r="AC335" s="131"/>
    </row>
    <row r="336" spans="2:29" x14ac:dyDescent="0.2">
      <c r="B336" s="151"/>
      <c r="C336" s="152"/>
      <c r="H336" s="340"/>
      <c r="L336" s="131"/>
      <c r="M336" s="131"/>
      <c r="N336" s="131"/>
      <c r="O336" s="131"/>
      <c r="P336" s="131"/>
      <c r="Q336" s="131"/>
      <c r="R336" s="131"/>
      <c r="S336" s="131"/>
      <c r="T336" s="131"/>
      <c r="U336" s="131"/>
      <c r="V336" s="131"/>
      <c r="W336" s="131"/>
      <c r="X336" s="131"/>
      <c r="Y336" s="131"/>
      <c r="Z336" s="131"/>
      <c r="AA336" s="131"/>
      <c r="AB336" s="131"/>
      <c r="AC336" s="131"/>
    </row>
    <row r="337" spans="2:29" x14ac:dyDescent="0.2">
      <c r="B337" s="151"/>
      <c r="C337" s="152"/>
      <c r="H337" s="340"/>
      <c r="L337" s="131"/>
      <c r="M337" s="131"/>
      <c r="N337" s="131"/>
      <c r="O337" s="131"/>
      <c r="P337" s="131"/>
      <c r="Q337" s="131"/>
      <c r="R337" s="131"/>
      <c r="S337" s="131"/>
      <c r="T337" s="131"/>
      <c r="U337" s="131"/>
      <c r="V337" s="131"/>
      <c r="W337" s="131"/>
      <c r="X337" s="131"/>
      <c r="Y337" s="131"/>
      <c r="Z337" s="131"/>
      <c r="AA337" s="131"/>
      <c r="AB337" s="131"/>
      <c r="AC337" s="131"/>
    </row>
    <row r="338" spans="2:29" x14ac:dyDescent="0.2">
      <c r="B338" s="151"/>
      <c r="C338" s="152"/>
      <c r="H338" s="340"/>
      <c r="L338" s="131"/>
      <c r="M338" s="131"/>
      <c r="N338" s="131"/>
      <c r="O338" s="131"/>
      <c r="P338" s="131"/>
      <c r="Q338" s="131"/>
      <c r="R338" s="131"/>
      <c r="S338" s="131"/>
      <c r="T338" s="131"/>
      <c r="U338" s="131"/>
      <c r="V338" s="131"/>
      <c r="W338" s="131"/>
      <c r="X338" s="131"/>
      <c r="Y338" s="131"/>
      <c r="Z338" s="131"/>
      <c r="AA338" s="131"/>
      <c r="AB338" s="131"/>
      <c r="AC338" s="131"/>
    </row>
    <row r="339" spans="2:29" x14ac:dyDescent="0.2">
      <c r="B339" s="151"/>
      <c r="C339" s="152"/>
      <c r="H339" s="340"/>
      <c r="L339" s="131"/>
      <c r="M339" s="131"/>
      <c r="N339" s="131"/>
      <c r="O339" s="131"/>
      <c r="P339" s="131"/>
      <c r="Q339" s="131"/>
      <c r="R339" s="131"/>
      <c r="S339" s="131"/>
      <c r="T339" s="131"/>
      <c r="U339" s="131"/>
      <c r="V339" s="131"/>
      <c r="W339" s="131"/>
      <c r="X339" s="131"/>
      <c r="Y339" s="131"/>
      <c r="Z339" s="131"/>
      <c r="AA339" s="131"/>
      <c r="AB339" s="131"/>
      <c r="AC339" s="131"/>
    </row>
    <row r="340" spans="2:29" x14ac:dyDescent="0.2">
      <c r="B340" s="151"/>
      <c r="C340" s="152"/>
      <c r="H340" s="340"/>
      <c r="L340" s="131"/>
      <c r="M340" s="131"/>
      <c r="N340" s="131"/>
      <c r="O340" s="131"/>
      <c r="P340" s="131"/>
      <c r="Q340" s="131"/>
      <c r="R340" s="131"/>
      <c r="S340" s="131"/>
      <c r="T340" s="131"/>
      <c r="U340" s="131"/>
      <c r="V340" s="131"/>
      <c r="W340" s="131"/>
      <c r="X340" s="131"/>
      <c r="Y340" s="131"/>
      <c r="Z340" s="131"/>
      <c r="AA340" s="131"/>
      <c r="AB340" s="131"/>
      <c r="AC340" s="131"/>
    </row>
    <row r="341" spans="2:29" x14ac:dyDescent="0.2">
      <c r="B341" s="151"/>
      <c r="C341" s="152"/>
      <c r="H341" s="340"/>
      <c r="L341" s="131"/>
      <c r="M341" s="131"/>
      <c r="N341" s="131"/>
      <c r="O341" s="131"/>
      <c r="P341" s="131"/>
      <c r="Q341" s="131"/>
      <c r="R341" s="131"/>
      <c r="S341" s="131"/>
      <c r="T341" s="131"/>
      <c r="U341" s="131"/>
      <c r="V341" s="131"/>
      <c r="W341" s="131"/>
      <c r="X341" s="131"/>
      <c r="Y341" s="131"/>
      <c r="Z341" s="131"/>
      <c r="AA341" s="131"/>
      <c r="AB341" s="131"/>
      <c r="AC341" s="131"/>
    </row>
    <row r="342" spans="2:29" x14ac:dyDescent="0.2">
      <c r="B342" s="151"/>
      <c r="C342" s="152"/>
      <c r="H342" s="340"/>
      <c r="L342" s="131"/>
      <c r="M342" s="131"/>
      <c r="N342" s="131"/>
      <c r="O342" s="131"/>
      <c r="P342" s="131"/>
      <c r="Q342" s="131"/>
      <c r="R342" s="131"/>
      <c r="S342" s="131"/>
      <c r="T342" s="131"/>
      <c r="U342" s="131"/>
      <c r="V342" s="131"/>
      <c r="W342" s="131"/>
      <c r="X342" s="131"/>
      <c r="Y342" s="131"/>
      <c r="Z342" s="131"/>
      <c r="AA342" s="131"/>
      <c r="AB342" s="131"/>
      <c r="AC342" s="131"/>
    </row>
    <row r="343" spans="2:29" x14ac:dyDescent="0.2">
      <c r="B343" s="151"/>
      <c r="C343" s="152"/>
      <c r="H343" s="340"/>
      <c r="L343" s="131"/>
      <c r="M343" s="131"/>
      <c r="N343" s="131"/>
      <c r="O343" s="131"/>
      <c r="P343" s="131"/>
      <c r="Q343" s="131"/>
      <c r="R343" s="131"/>
      <c r="S343" s="131"/>
      <c r="T343" s="131"/>
      <c r="U343" s="131"/>
      <c r="V343" s="131"/>
      <c r="W343" s="131"/>
      <c r="X343" s="131"/>
      <c r="Y343" s="131"/>
      <c r="Z343" s="131"/>
      <c r="AA343" s="131"/>
      <c r="AB343" s="131"/>
      <c r="AC343" s="131"/>
    </row>
    <row r="344" spans="2:29" x14ac:dyDescent="0.2">
      <c r="B344" s="151"/>
      <c r="C344" s="152"/>
      <c r="H344" s="340"/>
      <c r="L344" s="131"/>
      <c r="M344" s="131"/>
      <c r="N344" s="131"/>
      <c r="O344" s="131"/>
      <c r="P344" s="131"/>
      <c r="Q344" s="131"/>
      <c r="R344" s="131"/>
      <c r="S344" s="131"/>
      <c r="T344" s="131"/>
      <c r="U344" s="131"/>
      <c r="V344" s="131"/>
      <c r="W344" s="131"/>
      <c r="X344" s="131"/>
      <c r="Y344" s="131"/>
      <c r="Z344" s="131"/>
      <c r="AA344" s="131"/>
      <c r="AB344" s="131"/>
      <c r="AC344" s="131"/>
    </row>
    <row r="345" spans="2:29" x14ac:dyDescent="0.2">
      <c r="B345" s="151"/>
      <c r="C345" s="152"/>
      <c r="H345" s="340"/>
      <c r="L345" s="131"/>
      <c r="M345" s="131"/>
      <c r="N345" s="131"/>
      <c r="O345" s="131"/>
      <c r="P345" s="131"/>
      <c r="Q345" s="131"/>
      <c r="R345" s="131"/>
      <c r="S345" s="131"/>
      <c r="T345" s="131"/>
      <c r="U345" s="131"/>
      <c r="V345" s="131"/>
      <c r="W345" s="131"/>
      <c r="X345" s="131"/>
      <c r="Y345" s="131"/>
      <c r="Z345" s="131"/>
      <c r="AA345" s="131"/>
      <c r="AB345" s="131"/>
      <c r="AC345" s="131"/>
    </row>
    <row r="346" spans="2:29" x14ac:dyDescent="0.2">
      <c r="B346" s="151"/>
      <c r="C346" s="152"/>
      <c r="H346" s="340"/>
      <c r="L346" s="131"/>
      <c r="M346" s="131"/>
      <c r="N346" s="131"/>
      <c r="O346" s="131"/>
      <c r="P346" s="131"/>
      <c r="Q346" s="131"/>
      <c r="R346" s="131"/>
      <c r="S346" s="131"/>
      <c r="T346" s="131"/>
      <c r="U346" s="131"/>
      <c r="V346" s="131"/>
      <c r="W346" s="131"/>
      <c r="X346" s="131"/>
      <c r="Y346" s="131"/>
      <c r="Z346" s="131"/>
      <c r="AA346" s="131"/>
      <c r="AB346" s="131"/>
      <c r="AC346" s="131"/>
    </row>
    <row r="347" spans="2:29" x14ac:dyDescent="0.2">
      <c r="B347" s="151"/>
      <c r="C347" s="152"/>
      <c r="H347" s="340"/>
      <c r="L347" s="131"/>
      <c r="M347" s="131"/>
      <c r="N347" s="131"/>
      <c r="O347" s="131"/>
      <c r="P347" s="131"/>
      <c r="Q347" s="131"/>
      <c r="R347" s="131"/>
      <c r="S347" s="131"/>
      <c r="T347" s="131"/>
      <c r="U347" s="131"/>
      <c r="V347" s="131"/>
      <c r="W347" s="131"/>
      <c r="X347" s="131"/>
      <c r="Y347" s="131"/>
      <c r="Z347" s="131"/>
      <c r="AA347" s="131"/>
      <c r="AB347" s="131"/>
      <c r="AC347" s="131"/>
    </row>
    <row r="348" spans="2:29" x14ac:dyDescent="0.2">
      <c r="B348" s="151"/>
      <c r="C348" s="152"/>
      <c r="H348" s="340"/>
      <c r="L348" s="131"/>
      <c r="M348" s="131"/>
      <c r="N348" s="131"/>
      <c r="O348" s="131"/>
      <c r="P348" s="131"/>
      <c r="Q348" s="131"/>
      <c r="R348" s="131"/>
      <c r="S348" s="131"/>
      <c r="T348" s="131"/>
      <c r="U348" s="131"/>
      <c r="V348" s="131"/>
      <c r="W348" s="131"/>
      <c r="X348" s="131"/>
      <c r="Y348" s="131"/>
      <c r="Z348" s="131"/>
      <c r="AA348" s="131"/>
      <c r="AB348" s="131"/>
      <c r="AC348" s="131"/>
    </row>
    <row r="349" spans="2:29" x14ac:dyDescent="0.2">
      <c r="B349" s="151"/>
      <c r="C349" s="152"/>
      <c r="H349" s="340"/>
      <c r="L349" s="131"/>
      <c r="M349" s="131"/>
      <c r="N349" s="131"/>
      <c r="O349" s="131"/>
      <c r="P349" s="131"/>
      <c r="Q349" s="131"/>
      <c r="R349" s="131"/>
      <c r="S349" s="131"/>
      <c r="T349" s="131"/>
      <c r="U349" s="131"/>
      <c r="V349" s="131"/>
      <c r="W349" s="131"/>
      <c r="X349" s="131"/>
      <c r="Y349" s="131"/>
      <c r="Z349" s="131"/>
      <c r="AA349" s="131"/>
      <c r="AB349" s="131"/>
      <c r="AC349" s="131"/>
    </row>
    <row r="350" spans="2:29" x14ac:dyDescent="0.2">
      <c r="B350" s="151"/>
      <c r="C350" s="152"/>
      <c r="H350" s="340"/>
      <c r="L350" s="131"/>
      <c r="M350" s="131"/>
      <c r="N350" s="131"/>
      <c r="O350" s="131"/>
      <c r="P350" s="131"/>
      <c r="Q350" s="131"/>
      <c r="R350" s="131"/>
      <c r="S350" s="131"/>
      <c r="T350" s="131"/>
      <c r="U350" s="131"/>
      <c r="V350" s="131"/>
      <c r="W350" s="131"/>
      <c r="X350" s="131"/>
      <c r="Y350" s="131"/>
      <c r="Z350" s="131"/>
      <c r="AA350" s="131"/>
      <c r="AB350" s="131"/>
      <c r="AC350" s="131"/>
    </row>
    <row r="351" spans="2:29" x14ac:dyDescent="0.2">
      <c r="B351" s="151"/>
      <c r="C351" s="152"/>
      <c r="H351" s="340"/>
      <c r="L351" s="131"/>
      <c r="M351" s="131"/>
      <c r="N351" s="131"/>
      <c r="O351" s="131"/>
      <c r="P351" s="131"/>
      <c r="Q351" s="131"/>
      <c r="R351" s="131"/>
      <c r="S351" s="131"/>
      <c r="T351" s="131"/>
      <c r="U351" s="131"/>
      <c r="V351" s="131"/>
      <c r="W351" s="131"/>
      <c r="X351" s="131"/>
      <c r="Y351" s="131"/>
      <c r="Z351" s="131"/>
      <c r="AA351" s="131"/>
      <c r="AB351" s="131"/>
      <c r="AC351" s="131"/>
    </row>
    <row r="352" spans="2:29" x14ac:dyDescent="0.2">
      <c r="B352" s="151"/>
      <c r="C352" s="152"/>
      <c r="H352" s="340"/>
      <c r="L352" s="131"/>
      <c r="M352" s="131"/>
      <c r="N352" s="131"/>
      <c r="O352" s="131"/>
      <c r="P352" s="131"/>
      <c r="Q352" s="131"/>
      <c r="R352" s="131"/>
      <c r="S352" s="131"/>
      <c r="T352" s="131"/>
      <c r="U352" s="131"/>
      <c r="V352" s="131"/>
      <c r="W352" s="131"/>
      <c r="X352" s="131"/>
      <c r="Y352" s="131"/>
      <c r="Z352" s="131"/>
      <c r="AA352" s="131"/>
      <c r="AB352" s="131"/>
      <c r="AC352" s="131"/>
    </row>
    <row r="353" spans="2:29" x14ac:dyDescent="0.2">
      <c r="B353" s="151"/>
      <c r="C353" s="152"/>
      <c r="H353" s="340"/>
      <c r="L353" s="131"/>
      <c r="M353" s="131"/>
      <c r="N353" s="131"/>
      <c r="O353" s="131"/>
      <c r="P353" s="131"/>
      <c r="Q353" s="131"/>
      <c r="R353" s="131"/>
      <c r="S353" s="131"/>
      <c r="T353" s="131"/>
      <c r="U353" s="131"/>
      <c r="V353" s="131"/>
      <c r="W353" s="131"/>
      <c r="X353" s="131"/>
      <c r="Y353" s="131"/>
      <c r="Z353" s="131"/>
      <c r="AA353" s="131"/>
      <c r="AB353" s="131"/>
      <c r="AC353" s="131"/>
    </row>
    <row r="354" spans="2:29" x14ac:dyDescent="0.2">
      <c r="B354" s="151"/>
      <c r="C354" s="152"/>
      <c r="H354" s="340"/>
      <c r="L354" s="131"/>
      <c r="M354" s="131"/>
      <c r="N354" s="131"/>
      <c r="O354" s="131"/>
      <c r="P354" s="131"/>
      <c r="Q354" s="131"/>
      <c r="R354" s="131"/>
      <c r="S354" s="131"/>
      <c r="T354" s="131"/>
      <c r="U354" s="131"/>
      <c r="V354" s="131"/>
      <c r="W354" s="131"/>
      <c r="X354" s="131"/>
      <c r="Y354" s="131"/>
      <c r="Z354" s="131"/>
      <c r="AA354" s="131"/>
      <c r="AB354" s="131"/>
      <c r="AC354" s="131"/>
    </row>
    <row r="355" spans="2:29" x14ac:dyDescent="0.2">
      <c r="B355" s="151"/>
      <c r="C355" s="152"/>
      <c r="H355" s="340"/>
      <c r="L355" s="131"/>
      <c r="M355" s="131"/>
      <c r="N355" s="131"/>
      <c r="O355" s="131"/>
      <c r="P355" s="131"/>
      <c r="Q355" s="131"/>
      <c r="R355" s="131"/>
      <c r="S355" s="131"/>
      <c r="T355" s="131"/>
      <c r="U355" s="131"/>
      <c r="V355" s="131"/>
      <c r="W355" s="131"/>
      <c r="X355" s="131"/>
      <c r="Y355" s="131"/>
      <c r="Z355" s="131"/>
      <c r="AA355" s="131"/>
      <c r="AB355" s="131"/>
      <c r="AC355" s="131"/>
    </row>
    <row r="356" spans="2:29" x14ac:dyDescent="0.2">
      <c r="B356" s="151"/>
      <c r="C356" s="152"/>
      <c r="H356" s="340"/>
      <c r="L356" s="131"/>
      <c r="M356" s="131"/>
      <c r="N356" s="131"/>
      <c r="O356" s="131"/>
      <c r="P356" s="131"/>
      <c r="Q356" s="131"/>
      <c r="R356" s="131"/>
      <c r="S356" s="131"/>
      <c r="T356" s="131"/>
      <c r="U356" s="131"/>
      <c r="V356" s="131"/>
      <c r="W356" s="131"/>
      <c r="X356" s="131"/>
      <c r="Y356" s="131"/>
      <c r="Z356" s="131"/>
      <c r="AA356" s="131"/>
      <c r="AB356" s="131"/>
      <c r="AC356" s="131"/>
    </row>
    <row r="357" spans="2:29" x14ac:dyDescent="0.2">
      <c r="B357" s="151"/>
      <c r="C357" s="152"/>
      <c r="H357" s="340"/>
      <c r="L357" s="131"/>
      <c r="M357" s="131"/>
      <c r="N357" s="131"/>
      <c r="O357" s="131"/>
      <c r="P357" s="131"/>
      <c r="Q357" s="131"/>
      <c r="R357" s="131"/>
      <c r="S357" s="131"/>
      <c r="T357" s="131"/>
      <c r="U357" s="131"/>
      <c r="V357" s="131"/>
      <c r="W357" s="131"/>
      <c r="X357" s="131"/>
      <c r="Y357" s="131"/>
      <c r="Z357" s="131"/>
      <c r="AA357" s="131"/>
      <c r="AB357" s="131"/>
      <c r="AC357" s="131"/>
    </row>
    <row r="358" spans="2:29" x14ac:dyDescent="0.2">
      <c r="B358" s="151"/>
      <c r="C358" s="152"/>
      <c r="H358" s="340"/>
      <c r="L358" s="131"/>
      <c r="M358" s="131"/>
      <c r="N358" s="131"/>
      <c r="O358" s="131"/>
      <c r="P358" s="131"/>
      <c r="Q358" s="131"/>
      <c r="R358" s="131"/>
      <c r="S358" s="131"/>
      <c r="T358" s="131"/>
      <c r="U358" s="131"/>
      <c r="V358" s="131"/>
      <c r="W358" s="131"/>
      <c r="X358" s="131"/>
      <c r="Y358" s="131"/>
      <c r="Z358" s="131"/>
      <c r="AA358" s="131"/>
      <c r="AB358" s="131"/>
      <c r="AC358" s="131"/>
    </row>
    <row r="359" spans="2:29" x14ac:dyDescent="0.2">
      <c r="B359" s="151"/>
      <c r="C359" s="152"/>
      <c r="H359" s="340"/>
      <c r="L359" s="131"/>
      <c r="M359" s="131"/>
      <c r="N359" s="131"/>
      <c r="O359" s="131"/>
      <c r="P359" s="131"/>
      <c r="Q359" s="131"/>
      <c r="R359" s="131"/>
      <c r="S359" s="131"/>
      <c r="T359" s="131"/>
      <c r="U359" s="131"/>
      <c r="V359" s="131"/>
      <c r="W359" s="131"/>
      <c r="X359" s="131"/>
      <c r="Y359" s="131"/>
      <c r="Z359" s="131"/>
      <c r="AA359" s="131"/>
      <c r="AB359" s="131"/>
      <c r="AC359" s="131"/>
    </row>
    <row r="360" spans="2:29" x14ac:dyDescent="0.2">
      <c r="B360" s="151"/>
      <c r="C360" s="152"/>
      <c r="H360" s="340"/>
      <c r="L360" s="131"/>
      <c r="M360" s="131"/>
      <c r="N360" s="131"/>
      <c r="O360" s="131"/>
      <c r="P360" s="131"/>
      <c r="Q360" s="131"/>
      <c r="R360" s="131"/>
      <c r="S360" s="131"/>
      <c r="T360" s="131"/>
      <c r="U360" s="131"/>
      <c r="V360" s="131"/>
      <c r="W360" s="131"/>
      <c r="X360" s="131"/>
      <c r="Y360" s="131"/>
      <c r="Z360" s="131"/>
      <c r="AA360" s="131"/>
      <c r="AB360" s="131"/>
      <c r="AC360" s="131"/>
    </row>
    <row r="361" spans="2:29" x14ac:dyDescent="0.2">
      <c r="B361" s="151"/>
      <c r="C361" s="152"/>
      <c r="H361" s="340"/>
      <c r="L361" s="131"/>
      <c r="M361" s="131"/>
      <c r="N361" s="131"/>
      <c r="O361" s="131"/>
      <c r="P361" s="131"/>
      <c r="Q361" s="131"/>
      <c r="R361" s="131"/>
      <c r="S361" s="131"/>
      <c r="T361" s="131"/>
      <c r="U361" s="131"/>
      <c r="V361" s="131"/>
      <c r="W361" s="131"/>
      <c r="X361" s="131"/>
      <c r="Y361" s="131"/>
      <c r="Z361" s="131"/>
      <c r="AA361" s="131"/>
      <c r="AB361" s="131"/>
      <c r="AC361" s="131"/>
    </row>
    <row r="362" spans="2:29" x14ac:dyDescent="0.2">
      <c r="B362" s="151"/>
      <c r="C362" s="152"/>
      <c r="H362" s="340"/>
      <c r="L362" s="131"/>
      <c r="M362" s="131"/>
      <c r="N362" s="131"/>
      <c r="O362" s="131"/>
      <c r="P362" s="131"/>
      <c r="Q362" s="131"/>
      <c r="R362" s="131"/>
      <c r="S362" s="131"/>
      <c r="T362" s="131"/>
      <c r="U362" s="131"/>
      <c r="V362" s="131"/>
      <c r="W362" s="131"/>
      <c r="X362" s="131"/>
      <c r="Y362" s="131"/>
      <c r="Z362" s="131"/>
      <c r="AA362" s="131"/>
      <c r="AB362" s="131"/>
      <c r="AC362" s="131"/>
    </row>
    <row r="363" spans="2:29" x14ac:dyDescent="0.2">
      <c r="B363" s="151"/>
      <c r="C363" s="152"/>
      <c r="H363" s="340"/>
      <c r="L363" s="131"/>
      <c r="M363" s="131"/>
      <c r="N363" s="131"/>
      <c r="O363" s="131"/>
      <c r="P363" s="131"/>
      <c r="Q363" s="131"/>
      <c r="R363" s="131"/>
      <c r="S363" s="131"/>
      <c r="T363" s="131"/>
      <c r="U363" s="131"/>
      <c r="V363" s="131"/>
      <c r="W363" s="131"/>
      <c r="X363" s="131"/>
      <c r="Y363" s="131"/>
      <c r="Z363" s="131"/>
      <c r="AA363" s="131"/>
      <c r="AB363" s="131"/>
      <c r="AC363" s="131"/>
    </row>
    <row r="364" spans="2:29" x14ac:dyDescent="0.2">
      <c r="B364" s="151"/>
      <c r="C364" s="152"/>
      <c r="H364" s="340"/>
      <c r="L364" s="131"/>
      <c r="M364" s="131"/>
      <c r="N364" s="131"/>
      <c r="O364" s="131"/>
      <c r="P364" s="131"/>
      <c r="Q364" s="131"/>
      <c r="R364" s="131"/>
      <c r="S364" s="131"/>
      <c r="T364" s="131"/>
      <c r="U364" s="131"/>
      <c r="V364" s="131"/>
      <c r="W364" s="131"/>
      <c r="X364" s="131"/>
      <c r="Y364" s="131"/>
      <c r="Z364" s="131"/>
      <c r="AA364" s="131"/>
      <c r="AB364" s="131"/>
      <c r="AC364" s="131"/>
    </row>
    <row r="365" spans="2:29" x14ac:dyDescent="0.2">
      <c r="B365" s="151"/>
      <c r="C365" s="152"/>
      <c r="H365" s="340"/>
      <c r="L365" s="131"/>
      <c r="M365" s="131"/>
      <c r="N365" s="131"/>
      <c r="O365" s="131"/>
      <c r="P365" s="131"/>
      <c r="Q365" s="131"/>
      <c r="R365" s="131"/>
      <c r="S365" s="131"/>
      <c r="T365" s="131"/>
      <c r="U365" s="131"/>
      <c r="V365" s="131"/>
      <c r="W365" s="131"/>
      <c r="X365" s="131"/>
      <c r="Y365" s="131"/>
      <c r="Z365" s="131"/>
      <c r="AA365" s="131"/>
      <c r="AB365" s="131"/>
      <c r="AC365" s="131"/>
    </row>
    <row r="366" spans="2:29" x14ac:dyDescent="0.2">
      <c r="B366" s="151"/>
      <c r="C366" s="152"/>
      <c r="H366" s="340"/>
      <c r="L366" s="131"/>
      <c r="M366" s="131"/>
      <c r="N366" s="131"/>
      <c r="O366" s="131"/>
      <c r="P366" s="131"/>
      <c r="Q366" s="131"/>
      <c r="R366" s="131"/>
      <c r="S366" s="131"/>
      <c r="T366" s="131"/>
      <c r="U366" s="131"/>
      <c r="V366" s="131"/>
      <c r="W366" s="131"/>
      <c r="X366" s="131"/>
      <c r="Y366" s="131"/>
      <c r="Z366" s="131"/>
      <c r="AA366" s="131"/>
      <c r="AB366" s="131"/>
      <c r="AC366" s="131"/>
    </row>
    <row r="367" spans="2:29" x14ac:dyDescent="0.2">
      <c r="B367" s="151"/>
      <c r="C367" s="152"/>
      <c r="H367" s="340"/>
      <c r="L367" s="131"/>
      <c r="M367" s="131"/>
      <c r="N367" s="131"/>
      <c r="O367" s="131"/>
      <c r="P367" s="131"/>
      <c r="Q367" s="131"/>
      <c r="R367" s="131"/>
      <c r="S367" s="131"/>
      <c r="T367" s="131"/>
      <c r="U367" s="131"/>
      <c r="V367" s="131"/>
      <c r="W367" s="131"/>
      <c r="X367" s="131"/>
      <c r="Y367" s="131"/>
      <c r="Z367" s="131"/>
      <c r="AA367" s="131"/>
      <c r="AB367" s="131"/>
      <c r="AC367" s="131"/>
    </row>
    <row r="368" spans="2:29" x14ac:dyDescent="0.2">
      <c r="B368" s="151"/>
      <c r="C368" s="152"/>
      <c r="H368" s="340"/>
      <c r="L368" s="131"/>
      <c r="M368" s="131"/>
      <c r="N368" s="131"/>
      <c r="O368" s="131"/>
      <c r="P368" s="131"/>
      <c r="Q368" s="131"/>
      <c r="R368" s="131"/>
      <c r="S368" s="131"/>
      <c r="T368" s="131"/>
      <c r="U368" s="131"/>
      <c r="V368" s="131"/>
      <c r="W368" s="131"/>
      <c r="X368" s="131"/>
      <c r="Y368" s="131"/>
      <c r="Z368" s="131"/>
      <c r="AA368" s="131"/>
      <c r="AB368" s="131"/>
      <c r="AC368" s="131"/>
    </row>
    <row r="369" spans="2:29" x14ac:dyDescent="0.2">
      <c r="B369" s="151"/>
      <c r="C369" s="152"/>
      <c r="H369" s="340"/>
      <c r="L369" s="131"/>
      <c r="M369" s="131"/>
      <c r="N369" s="131"/>
      <c r="O369" s="131"/>
      <c r="P369" s="131"/>
      <c r="Q369" s="131"/>
      <c r="R369" s="131"/>
      <c r="S369" s="131"/>
      <c r="T369" s="131"/>
      <c r="U369" s="131"/>
      <c r="V369" s="131"/>
      <c r="W369" s="131"/>
      <c r="X369" s="131"/>
      <c r="Y369" s="131"/>
      <c r="Z369" s="131"/>
      <c r="AA369" s="131"/>
      <c r="AB369" s="131"/>
      <c r="AC369" s="131"/>
    </row>
    <row r="370" spans="2:29" x14ac:dyDescent="0.2">
      <c r="B370" s="151"/>
      <c r="C370" s="152"/>
      <c r="H370" s="340"/>
      <c r="L370" s="131"/>
      <c r="M370" s="131"/>
      <c r="N370" s="131"/>
      <c r="O370" s="131"/>
      <c r="P370" s="131"/>
      <c r="Q370" s="131"/>
      <c r="R370" s="131"/>
      <c r="S370" s="131"/>
      <c r="T370" s="131"/>
      <c r="U370" s="131"/>
      <c r="V370" s="131"/>
      <c r="W370" s="131"/>
      <c r="X370" s="131"/>
      <c r="Y370" s="131"/>
      <c r="Z370" s="131"/>
      <c r="AA370" s="131"/>
      <c r="AB370" s="131"/>
      <c r="AC370" s="131"/>
    </row>
    <row r="371" spans="2:29" x14ac:dyDescent="0.2">
      <c r="B371" s="151"/>
      <c r="C371" s="152"/>
      <c r="H371" s="340"/>
      <c r="L371" s="131"/>
      <c r="M371" s="131"/>
      <c r="N371" s="131"/>
      <c r="O371" s="131"/>
      <c r="P371" s="131"/>
      <c r="Q371" s="131"/>
      <c r="R371" s="131"/>
      <c r="S371" s="131"/>
      <c r="T371" s="131"/>
      <c r="U371" s="131"/>
      <c r="V371" s="131"/>
      <c r="W371" s="131"/>
      <c r="X371" s="131"/>
      <c r="Y371" s="131"/>
      <c r="Z371" s="131"/>
      <c r="AA371" s="131"/>
      <c r="AB371" s="131"/>
      <c r="AC371" s="131"/>
    </row>
    <row r="372" spans="2:29" x14ac:dyDescent="0.2">
      <c r="B372" s="151"/>
      <c r="C372" s="152"/>
      <c r="H372" s="340"/>
      <c r="L372" s="131"/>
      <c r="M372" s="131"/>
      <c r="N372" s="131"/>
      <c r="O372" s="131"/>
      <c r="P372" s="131"/>
      <c r="Q372" s="131"/>
      <c r="R372" s="131"/>
      <c r="S372" s="131"/>
      <c r="T372" s="131"/>
      <c r="U372" s="131"/>
      <c r="V372" s="131"/>
      <c r="W372" s="131"/>
      <c r="X372" s="131"/>
      <c r="Y372" s="131"/>
      <c r="Z372" s="131"/>
      <c r="AA372" s="131"/>
      <c r="AB372" s="131"/>
      <c r="AC372" s="131"/>
    </row>
    <row r="373" spans="2:29" x14ac:dyDescent="0.2">
      <c r="B373" s="151"/>
      <c r="C373" s="152"/>
      <c r="H373" s="340"/>
      <c r="L373" s="131"/>
      <c r="M373" s="131"/>
      <c r="N373" s="131"/>
      <c r="O373" s="131"/>
      <c r="P373" s="131"/>
      <c r="Q373" s="131"/>
      <c r="R373" s="131"/>
      <c r="S373" s="131"/>
      <c r="T373" s="131"/>
      <c r="U373" s="131"/>
      <c r="V373" s="131"/>
      <c r="W373" s="131"/>
      <c r="X373" s="131"/>
      <c r="Y373" s="131"/>
      <c r="Z373" s="131"/>
      <c r="AA373" s="131"/>
      <c r="AB373" s="131"/>
      <c r="AC373" s="131"/>
    </row>
    <row r="374" spans="2:29" x14ac:dyDescent="0.2">
      <c r="B374" s="151"/>
      <c r="C374" s="152"/>
      <c r="H374" s="340"/>
      <c r="L374" s="131"/>
      <c r="M374" s="131"/>
      <c r="N374" s="131"/>
      <c r="O374" s="131"/>
      <c r="P374" s="131"/>
      <c r="Q374" s="131"/>
      <c r="R374" s="131"/>
      <c r="S374" s="131"/>
      <c r="T374" s="131"/>
      <c r="U374" s="131"/>
      <c r="V374" s="131"/>
      <c r="W374" s="131"/>
      <c r="X374" s="131"/>
      <c r="Y374" s="131"/>
      <c r="Z374" s="131"/>
      <c r="AA374" s="131"/>
      <c r="AB374" s="131"/>
      <c r="AC374" s="131"/>
    </row>
    <row r="375" spans="2:29" x14ac:dyDescent="0.2">
      <c r="B375" s="151"/>
      <c r="C375" s="152"/>
      <c r="H375" s="340"/>
      <c r="L375" s="131"/>
      <c r="M375" s="131"/>
      <c r="N375" s="131"/>
      <c r="O375" s="131"/>
      <c r="P375" s="131"/>
      <c r="Q375" s="131"/>
      <c r="R375" s="131"/>
      <c r="S375" s="131"/>
      <c r="T375" s="131"/>
      <c r="U375" s="131"/>
      <c r="V375" s="131"/>
      <c r="W375" s="131"/>
      <c r="X375" s="131"/>
      <c r="Y375" s="131"/>
      <c r="Z375" s="131"/>
      <c r="AA375" s="131"/>
      <c r="AB375" s="131"/>
      <c r="AC375" s="131"/>
    </row>
    <row r="376" spans="2:29" x14ac:dyDescent="0.2">
      <c r="B376" s="151"/>
      <c r="C376" s="152"/>
      <c r="H376" s="340"/>
      <c r="L376" s="131"/>
      <c r="M376" s="131"/>
      <c r="N376" s="131"/>
      <c r="O376" s="131"/>
      <c r="P376" s="131"/>
      <c r="Q376" s="131"/>
      <c r="R376" s="131"/>
      <c r="S376" s="131"/>
      <c r="T376" s="131"/>
      <c r="U376" s="131"/>
      <c r="V376" s="131"/>
      <c r="W376" s="131"/>
      <c r="X376" s="131"/>
      <c r="Y376" s="131"/>
      <c r="Z376" s="131"/>
      <c r="AA376" s="131"/>
      <c r="AB376" s="131"/>
      <c r="AC376" s="131"/>
    </row>
    <row r="377" spans="2:29" x14ac:dyDescent="0.2">
      <c r="B377" s="151"/>
      <c r="C377" s="152"/>
      <c r="H377" s="340"/>
      <c r="L377" s="131"/>
      <c r="M377" s="131"/>
      <c r="N377" s="131"/>
      <c r="O377" s="131"/>
      <c r="P377" s="131"/>
      <c r="Q377" s="131"/>
      <c r="R377" s="131"/>
      <c r="S377" s="131"/>
      <c r="T377" s="131"/>
      <c r="U377" s="131"/>
      <c r="V377" s="131"/>
      <c r="W377" s="131"/>
      <c r="X377" s="131"/>
      <c r="Y377" s="131"/>
      <c r="Z377" s="131"/>
      <c r="AA377" s="131"/>
      <c r="AB377" s="131"/>
      <c r="AC377" s="131"/>
    </row>
    <row r="378" spans="2:29" x14ac:dyDescent="0.2">
      <c r="B378" s="151"/>
      <c r="C378" s="152"/>
      <c r="H378" s="340"/>
      <c r="L378" s="131"/>
      <c r="M378" s="131"/>
      <c r="N378" s="131"/>
      <c r="O378" s="131"/>
      <c r="P378" s="131"/>
      <c r="Q378" s="131"/>
      <c r="R378" s="131"/>
      <c r="S378" s="131"/>
      <c r="T378" s="131"/>
      <c r="U378" s="131"/>
      <c r="V378" s="131"/>
      <c r="W378" s="131"/>
      <c r="X378" s="131"/>
      <c r="Y378" s="131"/>
      <c r="Z378" s="131"/>
      <c r="AA378" s="131"/>
      <c r="AB378" s="131"/>
      <c r="AC378" s="131"/>
    </row>
    <row r="379" spans="2:29" x14ac:dyDescent="0.2">
      <c r="B379" s="151"/>
      <c r="C379" s="152"/>
      <c r="H379" s="340"/>
      <c r="L379" s="131"/>
      <c r="M379" s="131"/>
      <c r="N379" s="131"/>
      <c r="O379" s="131"/>
      <c r="P379" s="131"/>
      <c r="Q379" s="131"/>
      <c r="R379" s="131"/>
      <c r="S379" s="131"/>
      <c r="T379" s="131"/>
      <c r="U379" s="131"/>
      <c r="V379" s="131"/>
      <c r="W379" s="131"/>
      <c r="X379" s="131"/>
      <c r="Y379" s="131"/>
      <c r="Z379" s="131"/>
      <c r="AA379" s="131"/>
      <c r="AB379" s="131"/>
      <c r="AC379" s="131"/>
    </row>
    <row r="380" spans="2:29" x14ac:dyDescent="0.2">
      <c r="B380" s="151"/>
      <c r="C380" s="152"/>
      <c r="H380" s="340"/>
      <c r="L380" s="131"/>
      <c r="M380" s="131"/>
      <c r="N380" s="131"/>
      <c r="O380" s="131"/>
      <c r="P380" s="131"/>
      <c r="Q380" s="131"/>
      <c r="R380" s="131"/>
      <c r="S380" s="131"/>
      <c r="T380" s="131"/>
      <c r="U380" s="131"/>
      <c r="V380" s="131"/>
      <c r="W380" s="131"/>
      <c r="X380" s="131"/>
      <c r="Y380" s="131"/>
      <c r="Z380" s="131"/>
      <c r="AA380" s="131"/>
      <c r="AB380" s="131"/>
      <c r="AC380" s="131"/>
    </row>
    <row r="381" spans="2:29" x14ac:dyDescent="0.2">
      <c r="B381" s="151"/>
      <c r="C381" s="152"/>
      <c r="H381" s="340"/>
      <c r="L381" s="131"/>
      <c r="M381" s="131"/>
      <c r="N381" s="131"/>
      <c r="O381" s="131"/>
      <c r="P381" s="131"/>
      <c r="Q381" s="131"/>
      <c r="R381" s="131"/>
      <c r="S381" s="131"/>
      <c r="T381" s="131"/>
      <c r="U381" s="131"/>
      <c r="V381" s="131"/>
      <c r="W381" s="131"/>
      <c r="X381" s="131"/>
      <c r="Y381" s="131"/>
      <c r="Z381" s="131"/>
      <c r="AA381" s="131"/>
      <c r="AB381" s="131"/>
      <c r="AC381" s="131"/>
    </row>
    <row r="382" spans="2:29" x14ac:dyDescent="0.2">
      <c r="B382" s="151"/>
      <c r="C382" s="152"/>
      <c r="H382" s="340"/>
      <c r="L382" s="131"/>
      <c r="M382" s="131"/>
      <c r="N382" s="131"/>
      <c r="O382" s="131"/>
      <c r="P382" s="131"/>
      <c r="Q382" s="131"/>
      <c r="R382" s="131"/>
      <c r="S382" s="131"/>
      <c r="T382" s="131"/>
      <c r="U382" s="131"/>
      <c r="V382" s="131"/>
      <c r="W382" s="131"/>
      <c r="X382" s="131"/>
      <c r="Y382" s="131"/>
      <c r="Z382" s="131"/>
      <c r="AA382" s="131"/>
      <c r="AB382" s="131"/>
      <c r="AC382" s="131"/>
    </row>
    <row r="383" spans="2:29" x14ac:dyDescent="0.2">
      <c r="B383" s="151"/>
      <c r="C383" s="152"/>
      <c r="H383" s="340"/>
      <c r="L383" s="131"/>
      <c r="M383" s="131"/>
      <c r="N383" s="131"/>
      <c r="O383" s="131"/>
      <c r="P383" s="131"/>
      <c r="Q383" s="131"/>
      <c r="R383" s="131"/>
      <c r="S383" s="131"/>
      <c r="T383" s="131"/>
      <c r="U383" s="131"/>
      <c r="V383" s="131"/>
      <c r="W383" s="131"/>
      <c r="X383" s="131"/>
      <c r="Y383" s="131"/>
      <c r="Z383" s="131"/>
      <c r="AA383" s="131"/>
      <c r="AB383" s="131"/>
      <c r="AC383" s="131"/>
    </row>
    <row r="384" spans="2:29" x14ac:dyDescent="0.2">
      <c r="B384" s="151"/>
      <c r="C384" s="152"/>
      <c r="H384" s="340"/>
      <c r="L384" s="131"/>
      <c r="M384" s="131"/>
      <c r="N384" s="131"/>
      <c r="O384" s="131"/>
      <c r="P384" s="131"/>
      <c r="Q384" s="131"/>
      <c r="R384" s="131"/>
      <c r="S384" s="131"/>
      <c r="T384" s="131"/>
      <c r="U384" s="131"/>
      <c r="V384" s="131"/>
      <c r="W384" s="131"/>
      <c r="X384" s="131"/>
      <c r="Y384" s="131"/>
      <c r="Z384" s="131"/>
      <c r="AA384" s="131"/>
      <c r="AB384" s="131"/>
      <c r="AC384" s="131"/>
    </row>
    <row r="385" spans="2:29" x14ac:dyDescent="0.2">
      <c r="B385" s="151"/>
      <c r="C385" s="152"/>
      <c r="H385" s="340"/>
      <c r="L385" s="131"/>
      <c r="M385" s="131"/>
      <c r="N385" s="131"/>
      <c r="O385" s="131"/>
      <c r="P385" s="131"/>
      <c r="Q385" s="131"/>
      <c r="R385" s="131"/>
      <c r="S385" s="131"/>
      <c r="T385" s="131"/>
      <c r="U385" s="131"/>
      <c r="V385" s="131"/>
      <c r="W385" s="131"/>
      <c r="X385" s="131"/>
      <c r="Y385" s="131"/>
      <c r="Z385" s="131"/>
      <c r="AA385" s="131"/>
      <c r="AB385" s="131"/>
      <c r="AC385" s="131"/>
    </row>
    <row r="386" spans="2:29" x14ac:dyDescent="0.2">
      <c r="B386" s="151"/>
      <c r="C386" s="152"/>
      <c r="H386" s="340"/>
      <c r="L386" s="131"/>
      <c r="M386" s="131"/>
      <c r="N386" s="131"/>
      <c r="O386" s="131"/>
      <c r="P386" s="131"/>
      <c r="Q386" s="131"/>
      <c r="R386" s="131"/>
      <c r="S386" s="131"/>
      <c r="T386" s="131"/>
      <c r="U386" s="131"/>
      <c r="V386" s="131"/>
      <c r="W386" s="131"/>
      <c r="X386" s="131"/>
      <c r="Y386" s="131"/>
      <c r="Z386" s="131"/>
      <c r="AA386" s="131"/>
      <c r="AB386" s="131"/>
      <c r="AC386" s="131"/>
    </row>
    <row r="387" spans="2:29" x14ac:dyDescent="0.2">
      <c r="B387" s="151"/>
      <c r="C387" s="152"/>
      <c r="H387" s="340"/>
      <c r="L387" s="131"/>
      <c r="M387" s="131"/>
      <c r="N387" s="131"/>
      <c r="O387" s="131"/>
      <c r="P387" s="131"/>
      <c r="Q387" s="131"/>
      <c r="R387" s="131"/>
      <c r="S387" s="131"/>
      <c r="T387" s="131"/>
      <c r="U387" s="131"/>
      <c r="V387" s="131"/>
      <c r="W387" s="131"/>
      <c r="X387" s="131"/>
      <c r="Y387" s="131"/>
      <c r="Z387" s="131"/>
      <c r="AA387" s="131"/>
      <c r="AB387" s="131"/>
      <c r="AC387" s="131"/>
    </row>
    <row r="388" spans="2:29" x14ac:dyDescent="0.2">
      <c r="B388" s="151"/>
      <c r="C388" s="152"/>
      <c r="H388" s="340"/>
      <c r="L388" s="131"/>
      <c r="M388" s="131"/>
      <c r="N388" s="131"/>
      <c r="O388" s="131"/>
      <c r="P388" s="131"/>
      <c r="Q388" s="131"/>
      <c r="R388" s="131"/>
      <c r="S388" s="131"/>
      <c r="T388" s="131"/>
      <c r="U388" s="131"/>
      <c r="V388" s="131"/>
      <c r="W388" s="131"/>
      <c r="X388" s="131"/>
      <c r="Y388" s="131"/>
      <c r="Z388" s="131"/>
      <c r="AA388" s="131"/>
      <c r="AB388" s="131"/>
      <c r="AC388" s="131"/>
    </row>
    <row r="389" spans="2:29" x14ac:dyDescent="0.2">
      <c r="B389" s="151"/>
      <c r="C389" s="152"/>
      <c r="H389" s="340"/>
      <c r="L389" s="131"/>
      <c r="M389" s="131"/>
      <c r="N389" s="131"/>
      <c r="O389" s="131"/>
      <c r="P389" s="131"/>
      <c r="Q389" s="131"/>
      <c r="R389" s="131"/>
      <c r="S389" s="131"/>
      <c r="T389" s="131"/>
      <c r="U389" s="131"/>
      <c r="V389" s="131"/>
      <c r="W389" s="131"/>
      <c r="X389" s="131"/>
      <c r="Y389" s="131"/>
      <c r="Z389" s="131"/>
      <c r="AA389" s="131"/>
      <c r="AB389" s="131"/>
      <c r="AC389" s="131"/>
    </row>
    <row r="390" spans="2:29" x14ac:dyDescent="0.2">
      <c r="B390" s="151"/>
      <c r="C390" s="152"/>
      <c r="H390" s="340"/>
      <c r="L390" s="131"/>
      <c r="M390" s="131"/>
      <c r="N390" s="131"/>
      <c r="O390" s="131"/>
      <c r="P390" s="131"/>
      <c r="Q390" s="131"/>
      <c r="R390" s="131"/>
      <c r="S390" s="131"/>
      <c r="T390" s="131"/>
      <c r="U390" s="131"/>
      <c r="V390" s="131"/>
      <c r="W390" s="131"/>
      <c r="X390" s="131"/>
      <c r="Y390" s="131"/>
      <c r="Z390" s="131"/>
      <c r="AA390" s="131"/>
      <c r="AB390" s="131"/>
      <c r="AC390" s="131"/>
    </row>
    <row r="391" spans="2:29" x14ac:dyDescent="0.2">
      <c r="B391" s="151"/>
      <c r="C391" s="152"/>
      <c r="H391" s="340"/>
      <c r="L391" s="131"/>
      <c r="M391" s="131"/>
      <c r="N391" s="131"/>
      <c r="O391" s="131"/>
      <c r="P391" s="131"/>
      <c r="Q391" s="131"/>
      <c r="R391" s="131"/>
      <c r="S391" s="131"/>
      <c r="T391" s="131"/>
      <c r="U391" s="131"/>
      <c r="V391" s="131"/>
      <c r="W391" s="131"/>
      <c r="X391" s="131"/>
      <c r="Y391" s="131"/>
      <c r="Z391" s="131"/>
      <c r="AA391" s="131"/>
      <c r="AB391" s="131"/>
      <c r="AC391" s="131"/>
    </row>
    <row r="392" spans="2:29" x14ac:dyDescent="0.2">
      <c r="B392" s="151"/>
      <c r="C392" s="152"/>
      <c r="H392" s="340"/>
      <c r="L392" s="131"/>
      <c r="M392" s="131"/>
      <c r="N392" s="131"/>
      <c r="O392" s="131"/>
      <c r="P392" s="131"/>
      <c r="Q392" s="131"/>
      <c r="R392" s="131"/>
      <c r="S392" s="131"/>
      <c r="T392" s="131"/>
      <c r="U392" s="131"/>
      <c r="V392" s="131"/>
      <c r="W392" s="131"/>
      <c r="X392" s="131"/>
      <c r="Y392" s="131"/>
      <c r="Z392" s="131"/>
      <c r="AA392" s="131"/>
      <c r="AB392" s="131"/>
      <c r="AC392" s="131"/>
    </row>
    <row r="393" spans="2:29" x14ac:dyDescent="0.2">
      <c r="B393" s="151"/>
      <c r="C393" s="152"/>
      <c r="H393" s="340"/>
      <c r="L393" s="131"/>
      <c r="M393" s="131"/>
      <c r="N393" s="131"/>
      <c r="O393" s="131"/>
      <c r="P393" s="131"/>
      <c r="Q393" s="131"/>
      <c r="R393" s="131"/>
      <c r="S393" s="131"/>
      <c r="T393" s="131"/>
      <c r="U393" s="131"/>
      <c r="V393" s="131"/>
      <c r="W393" s="131"/>
      <c r="X393" s="131"/>
      <c r="Y393" s="131"/>
      <c r="Z393" s="131"/>
      <c r="AA393" s="131"/>
      <c r="AB393" s="131"/>
      <c r="AC393" s="131"/>
    </row>
    <row r="394" spans="2:29" x14ac:dyDescent="0.2">
      <c r="B394" s="151"/>
      <c r="C394" s="152"/>
      <c r="H394" s="340"/>
      <c r="L394" s="131"/>
      <c r="M394" s="131"/>
      <c r="N394" s="131"/>
      <c r="O394" s="131"/>
      <c r="P394" s="131"/>
      <c r="Q394" s="131"/>
      <c r="R394" s="131"/>
      <c r="S394" s="131"/>
      <c r="T394" s="131"/>
      <c r="U394" s="131"/>
      <c r="V394" s="131"/>
      <c r="W394" s="131"/>
      <c r="X394" s="131"/>
      <c r="Y394" s="131"/>
      <c r="Z394" s="131"/>
      <c r="AA394" s="131"/>
      <c r="AB394" s="131"/>
      <c r="AC394" s="131"/>
    </row>
    <row r="395" spans="2:29" x14ac:dyDescent="0.2">
      <c r="B395" s="151"/>
      <c r="C395" s="152"/>
      <c r="H395" s="340"/>
      <c r="L395" s="131"/>
      <c r="M395" s="131"/>
      <c r="N395" s="131"/>
      <c r="O395" s="131"/>
      <c r="P395" s="131"/>
      <c r="Q395" s="131"/>
      <c r="R395" s="131"/>
      <c r="S395" s="131"/>
      <c r="T395" s="131"/>
      <c r="U395" s="131"/>
      <c r="V395" s="131"/>
      <c r="W395" s="131"/>
      <c r="X395" s="131"/>
      <c r="Y395" s="131"/>
      <c r="Z395" s="131"/>
      <c r="AA395" s="131"/>
      <c r="AB395" s="131"/>
      <c r="AC395" s="131"/>
    </row>
    <row r="396" spans="2:29" x14ac:dyDescent="0.2">
      <c r="B396" s="151"/>
      <c r="C396" s="152"/>
      <c r="H396" s="340"/>
      <c r="L396" s="131"/>
      <c r="M396" s="131"/>
      <c r="N396" s="131"/>
      <c r="O396" s="131"/>
      <c r="P396" s="131"/>
      <c r="Q396" s="131"/>
      <c r="R396" s="131"/>
      <c r="S396" s="131"/>
      <c r="T396" s="131"/>
      <c r="U396" s="131"/>
      <c r="V396" s="131"/>
      <c r="W396" s="131"/>
      <c r="X396" s="131"/>
      <c r="Y396" s="131"/>
      <c r="Z396" s="131"/>
      <c r="AA396" s="131"/>
      <c r="AB396" s="131"/>
      <c r="AC396" s="131"/>
    </row>
    <row r="397" spans="2:29" x14ac:dyDescent="0.2">
      <c r="B397" s="151"/>
      <c r="C397" s="152"/>
      <c r="H397" s="340"/>
      <c r="L397" s="131"/>
      <c r="M397" s="131"/>
      <c r="N397" s="131"/>
      <c r="O397" s="131"/>
      <c r="P397" s="131"/>
      <c r="Q397" s="131"/>
      <c r="R397" s="131"/>
      <c r="S397" s="131"/>
      <c r="T397" s="131"/>
      <c r="U397" s="131"/>
      <c r="V397" s="131"/>
      <c r="W397" s="131"/>
      <c r="X397" s="131"/>
      <c r="Y397" s="131"/>
      <c r="Z397" s="131"/>
      <c r="AA397" s="131"/>
      <c r="AB397" s="131"/>
      <c r="AC397" s="131"/>
    </row>
    <row r="398" spans="2:29" x14ac:dyDescent="0.2">
      <c r="B398" s="151"/>
      <c r="C398" s="152"/>
      <c r="H398" s="340"/>
      <c r="L398" s="131"/>
      <c r="M398" s="131"/>
      <c r="N398" s="131"/>
      <c r="O398" s="131"/>
      <c r="P398" s="131"/>
      <c r="Q398" s="131"/>
      <c r="R398" s="131"/>
      <c r="S398" s="131"/>
      <c r="T398" s="131"/>
      <c r="U398" s="131"/>
      <c r="V398" s="131"/>
      <c r="W398" s="131"/>
      <c r="X398" s="131"/>
      <c r="Y398" s="131"/>
      <c r="Z398" s="131"/>
      <c r="AA398" s="131"/>
      <c r="AB398" s="131"/>
      <c r="AC398" s="131"/>
    </row>
    <row r="399" spans="2:29" x14ac:dyDescent="0.2">
      <c r="B399" s="151"/>
      <c r="C399" s="152"/>
      <c r="H399" s="340"/>
      <c r="L399" s="131"/>
      <c r="M399" s="131"/>
      <c r="N399" s="131"/>
      <c r="O399" s="131"/>
      <c r="P399" s="131"/>
      <c r="Q399" s="131"/>
      <c r="R399" s="131"/>
      <c r="S399" s="131"/>
      <c r="T399" s="131"/>
      <c r="U399" s="131"/>
      <c r="V399" s="131"/>
      <c r="W399" s="131"/>
      <c r="X399" s="131"/>
      <c r="Y399" s="131"/>
      <c r="Z399" s="131"/>
      <c r="AA399" s="131"/>
      <c r="AB399" s="131"/>
      <c r="AC399" s="131"/>
    </row>
    <row r="400" spans="2:29" x14ac:dyDescent="0.2">
      <c r="B400" s="151"/>
      <c r="C400" s="152"/>
      <c r="H400" s="340"/>
      <c r="L400" s="131"/>
      <c r="M400" s="131"/>
      <c r="N400" s="131"/>
      <c r="O400" s="131"/>
      <c r="P400" s="131"/>
      <c r="Q400" s="131"/>
      <c r="R400" s="131"/>
      <c r="S400" s="131"/>
      <c r="T400" s="131"/>
      <c r="U400" s="131"/>
      <c r="V400" s="131"/>
      <c r="W400" s="131"/>
      <c r="X400" s="131"/>
      <c r="Y400" s="131"/>
      <c r="Z400" s="131"/>
      <c r="AA400" s="131"/>
      <c r="AB400" s="131"/>
      <c r="AC400" s="131"/>
    </row>
    <row r="401" spans="2:29" x14ac:dyDescent="0.2">
      <c r="B401" s="151"/>
      <c r="C401" s="152"/>
      <c r="H401" s="340"/>
      <c r="L401" s="131"/>
      <c r="M401" s="131"/>
      <c r="N401" s="131"/>
      <c r="O401" s="131"/>
      <c r="P401" s="131"/>
      <c r="Q401" s="131"/>
      <c r="R401" s="131"/>
      <c r="S401" s="131"/>
      <c r="T401" s="131"/>
      <c r="U401" s="131"/>
      <c r="V401" s="131"/>
      <c r="W401" s="131"/>
      <c r="X401" s="131"/>
      <c r="Y401" s="131"/>
      <c r="Z401" s="131"/>
      <c r="AA401" s="131"/>
      <c r="AB401" s="131"/>
      <c r="AC401" s="131"/>
    </row>
    <row r="402" spans="2:29" x14ac:dyDescent="0.2">
      <c r="B402" s="151"/>
      <c r="C402" s="152"/>
      <c r="H402" s="340"/>
      <c r="L402" s="131"/>
      <c r="M402" s="131"/>
      <c r="N402" s="131"/>
      <c r="O402" s="131"/>
      <c r="P402" s="131"/>
      <c r="Q402" s="131"/>
      <c r="R402" s="131"/>
      <c r="S402" s="131"/>
      <c r="T402" s="131"/>
      <c r="U402" s="131"/>
      <c r="V402" s="131"/>
      <c r="W402" s="131"/>
      <c r="X402" s="131"/>
      <c r="Y402" s="131"/>
      <c r="Z402" s="131"/>
      <c r="AA402" s="131"/>
      <c r="AB402" s="131"/>
      <c r="AC402" s="131"/>
    </row>
    <row r="403" spans="2:29" x14ac:dyDescent="0.2">
      <c r="B403" s="151"/>
      <c r="C403" s="152"/>
      <c r="H403" s="340"/>
      <c r="L403" s="131"/>
      <c r="M403" s="131"/>
      <c r="N403" s="131"/>
      <c r="O403" s="131"/>
      <c r="P403" s="131"/>
      <c r="Q403" s="131"/>
      <c r="R403" s="131"/>
      <c r="S403" s="131"/>
      <c r="T403" s="131"/>
      <c r="U403" s="131"/>
      <c r="V403" s="131"/>
      <c r="W403" s="131"/>
      <c r="X403" s="131"/>
      <c r="Y403" s="131"/>
      <c r="Z403" s="131"/>
      <c r="AA403" s="131"/>
      <c r="AB403" s="131"/>
      <c r="AC403" s="131"/>
    </row>
    <row r="404" spans="2:29" x14ac:dyDescent="0.2">
      <c r="B404" s="151"/>
      <c r="C404" s="152"/>
      <c r="H404" s="340"/>
      <c r="L404" s="131"/>
      <c r="M404" s="131"/>
      <c r="N404" s="131"/>
      <c r="O404" s="131"/>
      <c r="P404" s="131"/>
      <c r="Q404" s="131"/>
      <c r="R404" s="131"/>
      <c r="S404" s="131"/>
      <c r="T404" s="131"/>
      <c r="U404" s="131"/>
      <c r="V404" s="131"/>
      <c r="W404" s="131"/>
      <c r="X404" s="131"/>
      <c r="Y404" s="131"/>
      <c r="Z404" s="131"/>
      <c r="AA404" s="131"/>
      <c r="AB404" s="131"/>
      <c r="AC404" s="131"/>
    </row>
    <row r="405" spans="2:29" x14ac:dyDescent="0.2">
      <c r="B405" s="151"/>
      <c r="C405" s="152"/>
      <c r="H405" s="340"/>
      <c r="L405" s="131"/>
      <c r="M405" s="131"/>
      <c r="N405" s="131"/>
      <c r="O405" s="131"/>
      <c r="P405" s="131"/>
      <c r="Q405" s="131"/>
      <c r="R405" s="131"/>
      <c r="S405" s="131"/>
      <c r="T405" s="131"/>
      <c r="U405" s="131"/>
      <c r="V405" s="131"/>
      <c r="W405" s="131"/>
      <c r="X405" s="131"/>
      <c r="Y405" s="131"/>
      <c r="Z405" s="131"/>
      <c r="AA405" s="131"/>
      <c r="AB405" s="131"/>
      <c r="AC405" s="131"/>
    </row>
    <row r="406" spans="2:29" x14ac:dyDescent="0.2">
      <c r="B406" s="151"/>
      <c r="C406" s="152"/>
      <c r="H406" s="340"/>
      <c r="L406" s="131"/>
      <c r="M406" s="131"/>
      <c r="N406" s="131"/>
      <c r="O406" s="131"/>
      <c r="P406" s="131"/>
      <c r="Q406" s="131"/>
      <c r="R406" s="131"/>
      <c r="S406" s="131"/>
      <c r="T406" s="131"/>
      <c r="U406" s="131"/>
      <c r="V406" s="131"/>
      <c r="W406" s="131"/>
      <c r="X406" s="131"/>
      <c r="Y406" s="131"/>
      <c r="Z406" s="131"/>
      <c r="AA406" s="131"/>
      <c r="AB406" s="131"/>
      <c r="AC406" s="131"/>
    </row>
    <row r="407" spans="2:29" x14ac:dyDescent="0.2">
      <c r="B407" s="151"/>
      <c r="C407" s="152"/>
      <c r="H407" s="340"/>
      <c r="L407" s="131"/>
      <c r="M407" s="131"/>
      <c r="N407" s="131"/>
      <c r="O407" s="131"/>
      <c r="P407" s="131"/>
      <c r="Q407" s="131"/>
      <c r="R407" s="131"/>
      <c r="S407" s="131"/>
      <c r="T407" s="131"/>
      <c r="U407" s="131"/>
      <c r="V407" s="131"/>
      <c r="W407" s="131"/>
      <c r="X407" s="131"/>
      <c r="Y407" s="131"/>
      <c r="Z407" s="131"/>
      <c r="AA407" s="131"/>
      <c r="AB407" s="131"/>
      <c r="AC407" s="131"/>
    </row>
    <row r="408" spans="2:29" x14ac:dyDescent="0.2">
      <c r="B408" s="151"/>
      <c r="C408" s="152"/>
      <c r="H408" s="340"/>
      <c r="L408" s="131"/>
      <c r="M408" s="131"/>
      <c r="N408" s="131"/>
      <c r="O408" s="131"/>
      <c r="P408" s="131"/>
      <c r="Q408" s="131"/>
      <c r="R408" s="131"/>
      <c r="S408" s="131"/>
      <c r="T408" s="131"/>
      <c r="U408" s="131"/>
      <c r="V408" s="131"/>
      <c r="W408" s="131"/>
      <c r="X408" s="131"/>
      <c r="Y408" s="131"/>
      <c r="Z408" s="131"/>
      <c r="AA408" s="131"/>
      <c r="AB408" s="131"/>
      <c r="AC408" s="131"/>
    </row>
    <row r="409" spans="2:29" x14ac:dyDescent="0.2">
      <c r="B409" s="151"/>
      <c r="C409" s="152"/>
      <c r="H409" s="340"/>
      <c r="L409" s="131"/>
      <c r="M409" s="131"/>
      <c r="N409" s="131"/>
      <c r="O409" s="131"/>
      <c r="P409" s="131"/>
      <c r="Q409" s="131"/>
      <c r="R409" s="131"/>
      <c r="S409" s="131"/>
      <c r="T409" s="131"/>
      <c r="U409" s="131"/>
      <c r="V409" s="131"/>
      <c r="W409" s="131"/>
      <c r="X409" s="131"/>
      <c r="Y409" s="131"/>
      <c r="Z409" s="131"/>
      <c r="AA409" s="131"/>
      <c r="AB409" s="131"/>
      <c r="AC409" s="131"/>
    </row>
    <row r="410" spans="2:29" x14ac:dyDescent="0.2">
      <c r="B410" s="151"/>
      <c r="C410" s="152"/>
      <c r="H410" s="340"/>
      <c r="L410" s="131"/>
      <c r="M410" s="131"/>
      <c r="N410" s="131"/>
      <c r="O410" s="131"/>
      <c r="P410" s="131"/>
      <c r="Q410" s="131"/>
      <c r="R410" s="131"/>
      <c r="S410" s="131"/>
      <c r="T410" s="131"/>
      <c r="U410" s="131"/>
      <c r="V410" s="131"/>
      <c r="W410" s="131"/>
      <c r="X410" s="131"/>
      <c r="Y410" s="131"/>
      <c r="Z410" s="131"/>
      <c r="AA410" s="131"/>
      <c r="AB410" s="131"/>
      <c r="AC410" s="131"/>
    </row>
    <row r="411" spans="2:29" x14ac:dyDescent="0.2">
      <c r="B411" s="151"/>
      <c r="C411" s="152"/>
      <c r="H411" s="340"/>
      <c r="L411" s="131"/>
      <c r="M411" s="131"/>
      <c r="N411" s="131"/>
      <c r="O411" s="131"/>
      <c r="P411" s="131"/>
      <c r="Q411" s="131"/>
      <c r="R411" s="131"/>
      <c r="S411" s="131"/>
      <c r="T411" s="131"/>
      <c r="U411" s="131"/>
      <c r="V411" s="131"/>
      <c r="W411" s="131"/>
      <c r="X411" s="131"/>
      <c r="Y411" s="131"/>
      <c r="Z411" s="131"/>
      <c r="AA411" s="131"/>
      <c r="AB411" s="131"/>
      <c r="AC411" s="131"/>
    </row>
    <row r="412" spans="2:29" x14ac:dyDescent="0.2">
      <c r="B412" s="151"/>
      <c r="C412" s="152"/>
      <c r="H412" s="340"/>
      <c r="L412" s="131"/>
      <c r="M412" s="131"/>
      <c r="N412" s="131"/>
      <c r="O412" s="131"/>
      <c r="P412" s="131"/>
      <c r="Q412" s="131"/>
      <c r="R412" s="131"/>
      <c r="S412" s="131"/>
      <c r="T412" s="131"/>
      <c r="U412" s="131"/>
      <c r="V412" s="131"/>
      <c r="W412" s="131"/>
      <c r="X412" s="131"/>
      <c r="Y412" s="131"/>
      <c r="Z412" s="131"/>
      <c r="AA412" s="131"/>
      <c r="AB412" s="131"/>
      <c r="AC412" s="131"/>
    </row>
    <row r="413" spans="2:29" x14ac:dyDescent="0.2">
      <c r="B413" s="151"/>
      <c r="C413" s="152"/>
      <c r="H413" s="340"/>
      <c r="L413" s="131"/>
      <c r="M413" s="131"/>
      <c r="N413" s="131"/>
      <c r="O413" s="131"/>
      <c r="P413" s="131"/>
      <c r="Q413" s="131"/>
      <c r="R413" s="131"/>
      <c r="S413" s="131"/>
      <c r="T413" s="131"/>
      <c r="U413" s="131"/>
      <c r="V413" s="131"/>
      <c r="W413" s="131"/>
      <c r="X413" s="131"/>
      <c r="Y413" s="131"/>
      <c r="Z413" s="131"/>
      <c r="AA413" s="131"/>
      <c r="AB413" s="131"/>
      <c r="AC413" s="131"/>
    </row>
    <row r="414" spans="2:29" x14ac:dyDescent="0.2">
      <c r="B414" s="151"/>
      <c r="C414" s="152"/>
      <c r="H414" s="340"/>
      <c r="L414" s="131"/>
      <c r="M414" s="131"/>
      <c r="N414" s="131"/>
      <c r="O414" s="131"/>
      <c r="P414" s="131"/>
      <c r="Q414" s="131"/>
      <c r="R414" s="131"/>
      <c r="S414" s="131"/>
      <c r="T414" s="131"/>
      <c r="U414" s="131"/>
      <c r="V414" s="131"/>
      <c r="W414" s="131"/>
      <c r="X414" s="131"/>
      <c r="Y414" s="131"/>
      <c r="Z414" s="131"/>
      <c r="AA414" s="131"/>
      <c r="AB414" s="131"/>
      <c r="AC414" s="131"/>
    </row>
    <row r="415" spans="2:29" x14ac:dyDescent="0.2">
      <c r="B415" s="151"/>
      <c r="C415" s="152"/>
      <c r="H415" s="340"/>
      <c r="L415" s="131"/>
      <c r="M415" s="131"/>
      <c r="N415" s="131"/>
      <c r="O415" s="131"/>
      <c r="P415" s="131"/>
      <c r="Q415" s="131"/>
      <c r="R415" s="131"/>
      <c r="S415" s="131"/>
      <c r="T415" s="131"/>
      <c r="U415" s="131"/>
      <c r="V415" s="131"/>
      <c r="W415" s="131"/>
      <c r="X415" s="131"/>
      <c r="Y415" s="131"/>
      <c r="Z415" s="131"/>
      <c r="AA415" s="131"/>
      <c r="AB415" s="131"/>
      <c r="AC415" s="131"/>
    </row>
    <row r="416" spans="2:29" x14ac:dyDescent="0.2">
      <c r="B416" s="151"/>
      <c r="C416" s="152"/>
      <c r="H416" s="340"/>
      <c r="L416" s="131"/>
      <c r="M416" s="131"/>
      <c r="N416" s="131"/>
      <c r="O416" s="131"/>
      <c r="P416" s="131"/>
      <c r="Q416" s="131"/>
      <c r="R416" s="131"/>
      <c r="S416" s="131"/>
      <c r="T416" s="131"/>
      <c r="U416" s="131"/>
      <c r="V416" s="131"/>
      <c r="W416" s="131"/>
      <c r="X416" s="131"/>
      <c r="Y416" s="131"/>
      <c r="Z416" s="131"/>
      <c r="AA416" s="131"/>
      <c r="AB416" s="131"/>
      <c r="AC416" s="131"/>
    </row>
    <row r="417" spans="2:29" x14ac:dyDescent="0.2">
      <c r="B417" s="151"/>
      <c r="C417" s="152"/>
      <c r="H417" s="340"/>
      <c r="L417" s="131"/>
      <c r="M417" s="131"/>
      <c r="N417" s="131"/>
      <c r="O417" s="131"/>
      <c r="P417" s="131"/>
      <c r="Q417" s="131"/>
      <c r="R417" s="131"/>
      <c r="S417" s="131"/>
      <c r="T417" s="131"/>
      <c r="U417" s="131"/>
      <c r="V417" s="131"/>
      <c r="W417" s="131"/>
      <c r="X417" s="131"/>
      <c r="Y417" s="131"/>
      <c r="Z417" s="131"/>
      <c r="AA417" s="131"/>
      <c r="AB417" s="131"/>
      <c r="AC417" s="131"/>
    </row>
    <row r="418" spans="2:29" x14ac:dyDescent="0.2">
      <c r="B418" s="151"/>
      <c r="C418" s="152"/>
      <c r="H418" s="340"/>
      <c r="L418" s="131"/>
      <c r="M418" s="131"/>
      <c r="N418" s="131"/>
      <c r="O418" s="131"/>
      <c r="P418" s="131"/>
      <c r="Q418" s="131"/>
      <c r="R418" s="131"/>
      <c r="S418" s="131"/>
      <c r="T418" s="131"/>
      <c r="U418" s="131"/>
      <c r="V418" s="131"/>
      <c r="W418" s="131"/>
      <c r="X418" s="131"/>
      <c r="Y418" s="131"/>
      <c r="Z418" s="131"/>
      <c r="AA418" s="131"/>
      <c r="AB418" s="131"/>
      <c r="AC418" s="131"/>
    </row>
    <row r="419" spans="2:29" x14ac:dyDescent="0.2">
      <c r="B419" s="151"/>
      <c r="C419" s="152"/>
      <c r="H419" s="340"/>
      <c r="L419" s="131"/>
      <c r="M419" s="131"/>
      <c r="N419" s="131"/>
      <c r="O419" s="131"/>
      <c r="P419" s="131"/>
      <c r="Q419" s="131"/>
      <c r="R419" s="131"/>
      <c r="S419" s="131"/>
      <c r="T419" s="131"/>
      <c r="U419" s="131"/>
      <c r="V419" s="131"/>
      <c r="W419" s="131"/>
      <c r="X419" s="131"/>
      <c r="Y419" s="131"/>
      <c r="Z419" s="131"/>
      <c r="AA419" s="131"/>
      <c r="AB419" s="131"/>
      <c r="AC419" s="131"/>
    </row>
    <row r="420" spans="2:29" x14ac:dyDescent="0.2">
      <c r="B420" s="151"/>
      <c r="C420" s="152"/>
      <c r="H420" s="340"/>
      <c r="L420" s="131"/>
      <c r="M420" s="131"/>
      <c r="N420" s="131"/>
      <c r="O420" s="131"/>
      <c r="P420" s="131"/>
      <c r="Q420" s="131"/>
      <c r="R420" s="131"/>
      <c r="S420" s="131"/>
      <c r="T420" s="131"/>
      <c r="U420" s="131"/>
      <c r="V420" s="131"/>
      <c r="W420" s="131"/>
      <c r="X420" s="131"/>
      <c r="Y420" s="131"/>
      <c r="Z420" s="131"/>
      <c r="AA420" s="131"/>
      <c r="AB420" s="131"/>
      <c r="AC420" s="131"/>
    </row>
    <row r="421" spans="2:29" x14ac:dyDescent="0.2">
      <c r="B421" s="151"/>
      <c r="C421" s="152"/>
      <c r="H421" s="340"/>
      <c r="L421" s="131"/>
      <c r="M421" s="131"/>
      <c r="N421" s="131"/>
      <c r="O421" s="131"/>
      <c r="P421" s="131"/>
      <c r="Q421" s="131"/>
      <c r="R421" s="131"/>
      <c r="S421" s="131"/>
      <c r="T421" s="131"/>
      <c r="U421" s="131"/>
      <c r="V421" s="131"/>
      <c r="W421" s="131"/>
      <c r="X421" s="131"/>
      <c r="Y421" s="131"/>
      <c r="Z421" s="131"/>
      <c r="AA421" s="131"/>
      <c r="AB421" s="131"/>
      <c r="AC421" s="131"/>
    </row>
    <row r="422" spans="2:29" x14ac:dyDescent="0.2">
      <c r="B422" s="151"/>
      <c r="C422" s="152"/>
      <c r="H422" s="340"/>
      <c r="L422" s="131"/>
      <c r="M422" s="131"/>
      <c r="N422" s="131"/>
      <c r="O422" s="131"/>
      <c r="P422" s="131"/>
      <c r="Q422" s="131"/>
      <c r="R422" s="131"/>
      <c r="S422" s="131"/>
      <c r="T422" s="131"/>
      <c r="U422" s="131"/>
      <c r="V422" s="131"/>
      <c r="W422" s="131"/>
      <c r="X422" s="131"/>
      <c r="Y422" s="131"/>
      <c r="Z422" s="131"/>
      <c r="AA422" s="131"/>
      <c r="AB422" s="131"/>
      <c r="AC422" s="131"/>
    </row>
    <row r="423" spans="2:29" x14ac:dyDescent="0.2">
      <c r="B423" s="151"/>
      <c r="C423" s="152"/>
      <c r="H423" s="340"/>
      <c r="L423" s="131"/>
      <c r="M423" s="131"/>
      <c r="N423" s="131"/>
      <c r="O423" s="131"/>
      <c r="P423" s="131"/>
      <c r="Q423" s="131"/>
      <c r="R423" s="131"/>
      <c r="S423" s="131"/>
      <c r="T423" s="131"/>
      <c r="U423" s="131"/>
      <c r="V423" s="131"/>
      <c r="W423" s="131"/>
      <c r="X423" s="131"/>
      <c r="Y423" s="131"/>
      <c r="Z423" s="131"/>
      <c r="AA423" s="131"/>
      <c r="AB423" s="131"/>
      <c r="AC423" s="131"/>
    </row>
    <row r="424" spans="2:29" x14ac:dyDescent="0.2">
      <c r="B424" s="151"/>
      <c r="C424" s="152"/>
      <c r="H424" s="340"/>
      <c r="L424" s="131"/>
      <c r="M424" s="131"/>
      <c r="N424" s="131"/>
      <c r="O424" s="131"/>
      <c r="P424" s="131"/>
      <c r="Q424" s="131"/>
      <c r="R424" s="131"/>
      <c r="S424" s="131"/>
      <c r="T424" s="131"/>
      <c r="U424" s="131"/>
      <c r="V424" s="131"/>
      <c r="W424" s="131"/>
      <c r="X424" s="131"/>
      <c r="Y424" s="131"/>
      <c r="Z424" s="131"/>
      <c r="AA424" s="131"/>
      <c r="AB424" s="131"/>
      <c r="AC424" s="131"/>
    </row>
    <row r="425" spans="2:29" x14ac:dyDescent="0.2">
      <c r="B425" s="151"/>
      <c r="C425" s="152"/>
      <c r="H425" s="340"/>
      <c r="L425" s="131"/>
      <c r="M425" s="131"/>
      <c r="N425" s="131"/>
      <c r="O425" s="131"/>
      <c r="P425" s="131"/>
      <c r="Q425" s="131"/>
      <c r="R425" s="131"/>
      <c r="S425" s="131"/>
      <c r="T425" s="131"/>
      <c r="U425" s="131"/>
      <c r="V425" s="131"/>
      <c r="W425" s="131"/>
      <c r="X425" s="131"/>
      <c r="Y425" s="131"/>
      <c r="Z425" s="131"/>
      <c r="AA425" s="131"/>
      <c r="AB425" s="131"/>
      <c r="AC425" s="131"/>
    </row>
    <row r="426" spans="2:29" x14ac:dyDescent="0.2">
      <c r="B426" s="151"/>
      <c r="C426" s="152"/>
      <c r="H426" s="340"/>
      <c r="L426" s="131"/>
      <c r="M426" s="131"/>
      <c r="N426" s="131"/>
      <c r="O426" s="131"/>
      <c r="P426" s="131"/>
      <c r="Q426" s="131"/>
      <c r="R426" s="131"/>
      <c r="S426" s="131"/>
      <c r="T426" s="131"/>
      <c r="U426" s="131"/>
      <c r="V426" s="131"/>
      <c r="W426" s="131"/>
      <c r="X426" s="131"/>
      <c r="Y426" s="131"/>
      <c r="Z426" s="131"/>
      <c r="AA426" s="131"/>
      <c r="AB426" s="131"/>
      <c r="AC426" s="131"/>
    </row>
    <row r="427" spans="2:29" x14ac:dyDescent="0.2">
      <c r="B427" s="151"/>
      <c r="C427" s="152"/>
      <c r="H427" s="340"/>
      <c r="L427" s="131"/>
      <c r="M427" s="131"/>
      <c r="N427" s="131"/>
      <c r="O427" s="131"/>
      <c r="P427" s="131"/>
      <c r="Q427" s="131"/>
      <c r="R427" s="131"/>
      <c r="S427" s="131"/>
      <c r="T427" s="131"/>
      <c r="U427" s="131"/>
      <c r="V427" s="131"/>
      <c r="W427" s="131"/>
      <c r="X427" s="131"/>
      <c r="Y427" s="131"/>
      <c r="Z427" s="131"/>
      <c r="AA427" s="131"/>
      <c r="AB427" s="131"/>
      <c r="AC427" s="131"/>
    </row>
    <row r="428" spans="2:29" x14ac:dyDescent="0.2">
      <c r="B428" s="151"/>
      <c r="C428" s="152"/>
      <c r="H428" s="340"/>
      <c r="L428" s="131"/>
      <c r="M428" s="131"/>
      <c r="N428" s="131"/>
      <c r="O428" s="131"/>
      <c r="P428" s="131"/>
      <c r="Q428" s="131"/>
      <c r="R428" s="131"/>
      <c r="S428" s="131"/>
      <c r="T428" s="131"/>
      <c r="U428" s="131"/>
      <c r="V428" s="131"/>
      <c r="W428" s="131"/>
      <c r="X428" s="131"/>
      <c r="Y428" s="131"/>
      <c r="Z428" s="131"/>
      <c r="AA428" s="131"/>
      <c r="AB428" s="131"/>
      <c r="AC428" s="131"/>
    </row>
    <row r="429" spans="2:29" x14ac:dyDescent="0.2">
      <c r="B429" s="151"/>
      <c r="C429" s="152"/>
      <c r="H429" s="340"/>
      <c r="L429" s="131"/>
      <c r="M429" s="131"/>
      <c r="N429" s="131"/>
      <c r="O429" s="131"/>
      <c r="P429" s="131"/>
      <c r="Q429" s="131"/>
      <c r="R429" s="131"/>
      <c r="S429" s="131"/>
      <c r="T429" s="131"/>
      <c r="U429" s="131"/>
      <c r="V429" s="131"/>
      <c r="W429" s="131"/>
      <c r="X429" s="131"/>
      <c r="Y429" s="131"/>
      <c r="Z429" s="131"/>
      <c r="AA429" s="131"/>
      <c r="AB429" s="131"/>
      <c r="AC429" s="131"/>
    </row>
    <row r="430" spans="2:29" x14ac:dyDescent="0.2">
      <c r="B430" s="151"/>
      <c r="C430" s="152"/>
      <c r="H430" s="340"/>
      <c r="L430" s="131"/>
      <c r="M430" s="131"/>
      <c r="N430" s="131"/>
      <c r="O430" s="131"/>
      <c r="P430" s="131"/>
      <c r="Q430" s="131"/>
      <c r="R430" s="131"/>
      <c r="S430" s="131"/>
      <c r="T430" s="131"/>
      <c r="U430" s="131"/>
      <c r="V430" s="131"/>
      <c r="W430" s="131"/>
      <c r="X430" s="131"/>
      <c r="Y430" s="131"/>
      <c r="Z430" s="131"/>
      <c r="AA430" s="131"/>
      <c r="AB430" s="131"/>
      <c r="AC430" s="131"/>
    </row>
    <row r="431" spans="2:29" x14ac:dyDescent="0.2">
      <c r="B431" s="151"/>
      <c r="C431" s="152"/>
      <c r="H431" s="340"/>
      <c r="L431" s="131"/>
      <c r="M431" s="131"/>
      <c r="N431" s="131"/>
      <c r="O431" s="131"/>
      <c r="P431" s="131"/>
      <c r="Q431" s="131"/>
      <c r="R431" s="131"/>
      <c r="S431" s="131"/>
      <c r="T431" s="131"/>
      <c r="U431" s="131"/>
      <c r="V431" s="131"/>
      <c r="W431" s="131"/>
      <c r="X431" s="131"/>
      <c r="Y431" s="131"/>
      <c r="Z431" s="131"/>
      <c r="AA431" s="131"/>
      <c r="AB431" s="131"/>
      <c r="AC431" s="131"/>
    </row>
    <row r="432" spans="2:29" x14ac:dyDescent="0.2">
      <c r="B432" s="151"/>
      <c r="C432" s="152"/>
      <c r="H432" s="340"/>
      <c r="L432" s="131"/>
      <c r="M432" s="131"/>
      <c r="N432" s="131"/>
      <c r="O432" s="131"/>
      <c r="P432" s="131"/>
      <c r="Q432" s="131"/>
      <c r="R432" s="131"/>
      <c r="S432" s="131"/>
      <c r="T432" s="131"/>
      <c r="U432" s="131"/>
      <c r="V432" s="131"/>
      <c r="W432" s="131"/>
      <c r="X432" s="131"/>
      <c r="Y432" s="131"/>
      <c r="Z432" s="131"/>
      <c r="AA432" s="131"/>
      <c r="AB432" s="131"/>
      <c r="AC432" s="131"/>
    </row>
    <row r="433" spans="2:29" x14ac:dyDescent="0.2">
      <c r="B433" s="151"/>
      <c r="C433" s="152"/>
      <c r="H433" s="340"/>
      <c r="L433" s="131"/>
      <c r="M433" s="131"/>
      <c r="N433" s="131"/>
      <c r="O433" s="131"/>
      <c r="P433" s="131"/>
      <c r="Q433" s="131"/>
      <c r="R433" s="131"/>
      <c r="S433" s="131"/>
      <c r="T433" s="131"/>
      <c r="U433" s="131"/>
      <c r="V433" s="131"/>
      <c r="W433" s="131"/>
      <c r="X433" s="131"/>
      <c r="Y433" s="131"/>
      <c r="Z433" s="131"/>
      <c r="AA433" s="131"/>
      <c r="AB433" s="131"/>
      <c r="AC433" s="131"/>
    </row>
    <row r="434" spans="2:29" x14ac:dyDescent="0.2">
      <c r="B434" s="151"/>
      <c r="C434" s="152"/>
      <c r="H434" s="340"/>
      <c r="L434" s="131"/>
      <c r="M434" s="131"/>
      <c r="N434" s="131"/>
      <c r="O434" s="131"/>
      <c r="P434" s="131"/>
      <c r="Q434" s="131"/>
      <c r="R434" s="131"/>
      <c r="S434" s="131"/>
      <c r="T434" s="131"/>
      <c r="U434" s="131"/>
      <c r="V434" s="131"/>
      <c r="W434" s="131"/>
      <c r="X434" s="131"/>
      <c r="Y434" s="131"/>
      <c r="Z434" s="131"/>
      <c r="AA434" s="131"/>
      <c r="AB434" s="131"/>
      <c r="AC434" s="131"/>
    </row>
    <row r="435" spans="2:29" x14ac:dyDescent="0.2">
      <c r="B435" s="151"/>
      <c r="C435" s="152"/>
      <c r="H435" s="340"/>
      <c r="L435" s="131"/>
      <c r="M435" s="131"/>
      <c r="N435" s="131"/>
      <c r="O435" s="131"/>
      <c r="P435" s="131"/>
      <c r="Q435" s="131"/>
      <c r="R435" s="131"/>
      <c r="S435" s="131"/>
      <c r="T435" s="131"/>
      <c r="U435" s="131"/>
      <c r="V435" s="131"/>
      <c r="W435" s="131"/>
      <c r="X435" s="131"/>
      <c r="Y435" s="131"/>
      <c r="Z435" s="131"/>
      <c r="AA435" s="131"/>
      <c r="AB435" s="131"/>
      <c r="AC435" s="131"/>
    </row>
    <row r="436" spans="2:29" x14ac:dyDescent="0.2">
      <c r="B436" s="151"/>
      <c r="C436" s="152"/>
      <c r="H436" s="340"/>
      <c r="L436" s="131"/>
      <c r="M436" s="131"/>
      <c r="N436" s="131"/>
      <c r="O436" s="131"/>
      <c r="P436" s="131"/>
      <c r="Q436" s="131"/>
      <c r="R436" s="131"/>
      <c r="S436" s="131"/>
      <c r="T436" s="131"/>
      <c r="U436" s="131"/>
      <c r="V436" s="131"/>
      <c r="W436" s="131"/>
      <c r="X436" s="131"/>
      <c r="Y436" s="131"/>
      <c r="Z436" s="131"/>
      <c r="AA436" s="131"/>
      <c r="AB436" s="131"/>
      <c r="AC436" s="131"/>
    </row>
    <row r="437" spans="2:29" x14ac:dyDescent="0.2">
      <c r="B437" s="151"/>
      <c r="C437" s="152"/>
      <c r="H437" s="340"/>
      <c r="L437" s="131"/>
      <c r="M437" s="131"/>
      <c r="N437" s="131"/>
      <c r="O437" s="131"/>
      <c r="P437" s="131"/>
      <c r="Q437" s="131"/>
      <c r="R437" s="131"/>
      <c r="S437" s="131"/>
      <c r="T437" s="131"/>
      <c r="U437" s="131"/>
      <c r="V437" s="131"/>
      <c r="W437" s="131"/>
      <c r="X437" s="131"/>
      <c r="Y437" s="131"/>
      <c r="Z437" s="131"/>
      <c r="AA437" s="131"/>
      <c r="AB437" s="131"/>
      <c r="AC437" s="131"/>
    </row>
    <row r="438" spans="2:29" x14ac:dyDescent="0.2">
      <c r="B438" s="151"/>
      <c r="C438" s="152"/>
      <c r="H438" s="340"/>
      <c r="L438" s="131"/>
      <c r="M438" s="131"/>
      <c r="N438" s="131"/>
      <c r="O438" s="131"/>
      <c r="P438" s="131"/>
      <c r="Q438" s="131"/>
      <c r="R438" s="131"/>
      <c r="S438" s="131"/>
      <c r="T438" s="131"/>
      <c r="U438" s="131"/>
      <c r="V438" s="131"/>
      <c r="W438" s="131"/>
      <c r="X438" s="131"/>
      <c r="Y438" s="131"/>
      <c r="Z438" s="131"/>
      <c r="AA438" s="131"/>
      <c r="AB438" s="131"/>
      <c r="AC438" s="131"/>
    </row>
    <row r="439" spans="2:29" x14ac:dyDescent="0.2">
      <c r="B439" s="151"/>
      <c r="C439" s="152"/>
      <c r="H439" s="340"/>
      <c r="L439" s="131"/>
      <c r="M439" s="131"/>
      <c r="N439" s="131"/>
      <c r="O439" s="131"/>
      <c r="P439" s="131"/>
      <c r="Q439" s="131"/>
      <c r="R439" s="131"/>
      <c r="S439" s="131"/>
      <c r="T439" s="131"/>
      <c r="U439" s="131"/>
      <c r="V439" s="131"/>
      <c r="W439" s="131"/>
      <c r="X439" s="131"/>
      <c r="Y439" s="131"/>
      <c r="Z439" s="131"/>
      <c r="AA439" s="131"/>
      <c r="AB439" s="131"/>
      <c r="AC439" s="131"/>
    </row>
    <row r="440" spans="2:29" x14ac:dyDescent="0.2">
      <c r="B440" s="151"/>
      <c r="C440" s="152"/>
      <c r="H440" s="340"/>
      <c r="L440" s="131"/>
      <c r="M440" s="131"/>
      <c r="N440" s="131"/>
      <c r="O440" s="131"/>
      <c r="P440" s="131"/>
      <c r="Q440" s="131"/>
      <c r="R440" s="131"/>
      <c r="S440" s="131"/>
      <c r="T440" s="131"/>
      <c r="U440" s="131"/>
      <c r="V440" s="131"/>
      <c r="W440" s="131"/>
      <c r="X440" s="131"/>
      <c r="Y440" s="131"/>
      <c r="Z440" s="131"/>
      <c r="AA440" s="131"/>
      <c r="AB440" s="131"/>
      <c r="AC440" s="131"/>
    </row>
    <row r="441" spans="2:29" x14ac:dyDescent="0.2">
      <c r="B441" s="151"/>
      <c r="C441" s="152"/>
      <c r="H441" s="340"/>
      <c r="L441" s="131"/>
      <c r="M441" s="131"/>
      <c r="N441" s="131"/>
      <c r="O441" s="131"/>
      <c r="P441" s="131"/>
      <c r="Q441" s="131"/>
      <c r="R441" s="131"/>
      <c r="S441" s="131"/>
      <c r="T441" s="131"/>
      <c r="U441" s="131"/>
      <c r="V441" s="131"/>
      <c r="W441" s="131"/>
      <c r="X441" s="131"/>
      <c r="Y441" s="131"/>
      <c r="Z441" s="131"/>
      <c r="AA441" s="131"/>
      <c r="AB441" s="131"/>
      <c r="AC441" s="131"/>
    </row>
    <row r="442" spans="2:29" x14ac:dyDescent="0.2">
      <c r="B442" s="151"/>
      <c r="C442" s="152"/>
      <c r="H442" s="340"/>
      <c r="L442" s="131"/>
      <c r="M442" s="131"/>
      <c r="N442" s="131"/>
      <c r="O442" s="131"/>
      <c r="P442" s="131"/>
      <c r="Q442" s="131"/>
      <c r="R442" s="131"/>
      <c r="S442" s="131"/>
      <c r="T442" s="131"/>
      <c r="U442" s="131"/>
      <c r="V442" s="131"/>
      <c r="W442" s="131"/>
      <c r="X442" s="131"/>
      <c r="Y442" s="131"/>
      <c r="Z442" s="131"/>
      <c r="AA442" s="131"/>
      <c r="AB442" s="131"/>
      <c r="AC442" s="131"/>
    </row>
    <row r="443" spans="2:29" x14ac:dyDescent="0.2">
      <c r="B443" s="151"/>
      <c r="C443" s="152"/>
      <c r="H443" s="340"/>
      <c r="L443" s="131"/>
      <c r="M443" s="131"/>
      <c r="N443" s="131"/>
      <c r="O443" s="131"/>
      <c r="P443" s="131"/>
      <c r="Q443" s="131"/>
      <c r="R443" s="131"/>
      <c r="S443" s="131"/>
      <c r="T443" s="131"/>
      <c r="U443" s="131"/>
      <c r="V443" s="131"/>
      <c r="W443" s="131"/>
      <c r="X443" s="131"/>
      <c r="Y443" s="131"/>
      <c r="Z443" s="131"/>
      <c r="AA443" s="131"/>
      <c r="AB443" s="131"/>
      <c r="AC443" s="131"/>
    </row>
    <row r="444" spans="2:29" x14ac:dyDescent="0.2">
      <c r="B444" s="151"/>
      <c r="C444" s="152"/>
      <c r="H444" s="340"/>
      <c r="L444" s="131"/>
      <c r="M444" s="131"/>
      <c r="N444" s="131"/>
      <c r="O444" s="131"/>
      <c r="P444" s="131"/>
      <c r="Q444" s="131"/>
      <c r="R444" s="131"/>
      <c r="S444" s="131"/>
      <c r="T444" s="131"/>
      <c r="U444" s="131"/>
      <c r="V444" s="131"/>
      <c r="W444" s="131"/>
      <c r="X444" s="131"/>
      <c r="Y444" s="131"/>
      <c r="Z444" s="131"/>
      <c r="AA444" s="131"/>
      <c r="AB444" s="131"/>
      <c r="AC444" s="131"/>
    </row>
    <row r="445" spans="2:29" x14ac:dyDescent="0.2">
      <c r="B445" s="151"/>
      <c r="C445" s="152"/>
      <c r="H445" s="340"/>
      <c r="L445" s="131"/>
      <c r="M445" s="131"/>
      <c r="N445" s="131"/>
      <c r="O445" s="131"/>
      <c r="P445" s="131"/>
      <c r="Q445" s="131"/>
      <c r="R445" s="131"/>
      <c r="S445" s="131"/>
      <c r="T445" s="131"/>
      <c r="U445" s="131"/>
      <c r="V445" s="131"/>
      <c r="W445" s="131"/>
      <c r="X445" s="131"/>
      <c r="Y445" s="131"/>
      <c r="Z445" s="131"/>
      <c r="AA445" s="131"/>
      <c r="AB445" s="131"/>
      <c r="AC445" s="131"/>
    </row>
    <row r="446" spans="2:29" x14ac:dyDescent="0.2">
      <c r="B446" s="151"/>
      <c r="C446" s="152"/>
      <c r="H446" s="340"/>
      <c r="L446" s="131"/>
      <c r="M446" s="131"/>
      <c r="N446" s="131"/>
      <c r="O446" s="131"/>
      <c r="P446" s="131"/>
      <c r="Q446" s="131"/>
      <c r="R446" s="131"/>
      <c r="S446" s="131"/>
      <c r="T446" s="131"/>
      <c r="U446" s="131"/>
      <c r="V446" s="131"/>
      <c r="W446" s="131"/>
      <c r="X446" s="131"/>
      <c r="Y446" s="131"/>
      <c r="Z446" s="131"/>
      <c r="AA446" s="131"/>
      <c r="AB446" s="131"/>
      <c r="AC446" s="131"/>
    </row>
    <row r="447" spans="2:29" x14ac:dyDescent="0.2">
      <c r="B447" s="151"/>
      <c r="C447" s="152"/>
      <c r="H447" s="340"/>
      <c r="L447" s="131"/>
      <c r="M447" s="131"/>
      <c r="N447" s="131"/>
      <c r="O447" s="131"/>
      <c r="P447" s="131"/>
      <c r="Q447" s="131"/>
      <c r="R447" s="131"/>
      <c r="S447" s="131"/>
      <c r="T447" s="131"/>
      <c r="U447" s="131"/>
      <c r="V447" s="131"/>
      <c r="W447" s="131"/>
      <c r="X447" s="131"/>
      <c r="Y447" s="131"/>
      <c r="Z447" s="131"/>
      <c r="AA447" s="131"/>
      <c r="AB447" s="131"/>
      <c r="AC447" s="131"/>
    </row>
    <row r="448" spans="2:29" x14ac:dyDescent="0.2">
      <c r="B448" s="151"/>
      <c r="C448" s="152"/>
      <c r="H448" s="340"/>
      <c r="L448" s="131"/>
      <c r="M448" s="131"/>
      <c r="N448" s="131"/>
      <c r="O448" s="131"/>
      <c r="P448" s="131"/>
      <c r="Q448" s="131"/>
      <c r="R448" s="131"/>
      <c r="S448" s="131"/>
      <c r="T448" s="131"/>
      <c r="U448" s="131"/>
      <c r="V448" s="131"/>
      <c r="W448" s="131"/>
      <c r="X448" s="131"/>
      <c r="Y448" s="131"/>
      <c r="Z448" s="131"/>
      <c r="AA448" s="131"/>
      <c r="AB448" s="131"/>
      <c r="AC448" s="131"/>
    </row>
    <row r="449" spans="2:29" x14ac:dyDescent="0.2">
      <c r="B449" s="151"/>
      <c r="C449" s="152"/>
      <c r="H449" s="340"/>
      <c r="L449" s="131"/>
      <c r="M449" s="131"/>
      <c r="N449" s="131"/>
      <c r="O449" s="131"/>
      <c r="P449" s="131"/>
      <c r="Q449" s="131"/>
      <c r="R449" s="131"/>
      <c r="S449" s="131"/>
      <c r="T449" s="131"/>
      <c r="U449" s="131"/>
      <c r="V449" s="131"/>
      <c r="W449" s="131"/>
      <c r="X449" s="131"/>
      <c r="Y449" s="131"/>
      <c r="Z449" s="131"/>
      <c r="AA449" s="131"/>
      <c r="AB449" s="131"/>
      <c r="AC449" s="131"/>
    </row>
    <row r="450" spans="2:29" x14ac:dyDescent="0.2">
      <c r="B450" s="151"/>
      <c r="C450" s="152"/>
      <c r="H450" s="340"/>
      <c r="L450" s="131"/>
      <c r="M450" s="131"/>
      <c r="N450" s="131"/>
      <c r="O450" s="131"/>
      <c r="P450" s="131"/>
      <c r="Q450" s="131"/>
      <c r="R450" s="131"/>
      <c r="S450" s="131"/>
      <c r="T450" s="131"/>
      <c r="U450" s="131"/>
      <c r="V450" s="131"/>
      <c r="W450" s="131"/>
      <c r="X450" s="131"/>
      <c r="Y450" s="131"/>
      <c r="Z450" s="131"/>
      <c r="AA450" s="131"/>
      <c r="AB450" s="131"/>
      <c r="AC450" s="131"/>
    </row>
    <row r="451" spans="2:29" x14ac:dyDescent="0.2">
      <c r="B451" s="151"/>
      <c r="C451" s="152"/>
      <c r="H451" s="340"/>
      <c r="L451" s="131"/>
      <c r="M451" s="131"/>
      <c r="N451" s="131"/>
      <c r="O451" s="131"/>
      <c r="P451" s="131"/>
      <c r="Q451" s="131"/>
      <c r="R451" s="131"/>
      <c r="S451" s="131"/>
      <c r="T451" s="131"/>
      <c r="U451" s="131"/>
      <c r="V451" s="131"/>
      <c r="W451" s="131"/>
      <c r="X451" s="131"/>
      <c r="Y451" s="131"/>
      <c r="Z451" s="131"/>
      <c r="AA451" s="131"/>
      <c r="AB451" s="131"/>
      <c r="AC451" s="131"/>
    </row>
    <row r="452" spans="2:29" x14ac:dyDescent="0.2">
      <c r="B452" s="151"/>
      <c r="C452" s="152"/>
      <c r="H452" s="340"/>
      <c r="L452" s="131"/>
      <c r="M452" s="131"/>
      <c r="N452" s="131"/>
      <c r="O452" s="131"/>
      <c r="P452" s="131"/>
      <c r="Q452" s="131"/>
      <c r="R452" s="131"/>
      <c r="S452" s="131"/>
      <c r="T452" s="131"/>
      <c r="U452" s="131"/>
      <c r="V452" s="131"/>
      <c r="W452" s="131"/>
      <c r="X452" s="131"/>
      <c r="Y452" s="131"/>
      <c r="Z452" s="131"/>
      <c r="AA452" s="131"/>
      <c r="AB452" s="131"/>
      <c r="AC452" s="131"/>
    </row>
    <row r="453" spans="2:29" x14ac:dyDescent="0.2">
      <c r="B453" s="151"/>
      <c r="C453" s="152"/>
      <c r="H453" s="340"/>
      <c r="L453" s="131"/>
      <c r="M453" s="131"/>
      <c r="N453" s="131"/>
      <c r="O453" s="131"/>
      <c r="P453" s="131"/>
      <c r="Q453" s="131"/>
      <c r="R453" s="131"/>
      <c r="S453" s="131"/>
      <c r="T453" s="131"/>
      <c r="U453" s="131"/>
      <c r="V453" s="131"/>
      <c r="W453" s="131"/>
      <c r="X453" s="131"/>
      <c r="Y453" s="131"/>
      <c r="Z453" s="131"/>
      <c r="AA453" s="131"/>
      <c r="AB453" s="131"/>
      <c r="AC453" s="131"/>
    </row>
    <row r="454" spans="2:29" x14ac:dyDescent="0.2">
      <c r="B454" s="151"/>
      <c r="C454" s="152"/>
      <c r="H454" s="340"/>
      <c r="L454" s="131"/>
      <c r="M454" s="131"/>
      <c r="N454" s="131"/>
      <c r="O454" s="131"/>
      <c r="P454" s="131"/>
      <c r="Q454" s="131"/>
      <c r="R454" s="131"/>
      <c r="S454" s="131"/>
      <c r="T454" s="131"/>
      <c r="U454" s="131"/>
      <c r="V454" s="131"/>
      <c r="W454" s="131"/>
      <c r="X454" s="131"/>
      <c r="Y454" s="131"/>
      <c r="Z454" s="131"/>
      <c r="AA454" s="131"/>
      <c r="AB454" s="131"/>
      <c r="AC454" s="131"/>
    </row>
    <row r="455" spans="2:29" x14ac:dyDescent="0.2">
      <c r="B455" s="151"/>
      <c r="C455" s="152"/>
      <c r="H455" s="340"/>
      <c r="L455" s="131"/>
      <c r="M455" s="131"/>
      <c r="N455" s="131"/>
      <c r="O455" s="131"/>
      <c r="P455" s="131"/>
      <c r="Q455" s="131"/>
      <c r="R455" s="131"/>
      <c r="S455" s="131"/>
      <c r="T455" s="131"/>
      <c r="U455" s="131"/>
      <c r="V455" s="131"/>
      <c r="W455" s="131"/>
      <c r="X455" s="131"/>
      <c r="Y455" s="131"/>
      <c r="Z455" s="131"/>
      <c r="AA455" s="131"/>
      <c r="AB455" s="131"/>
      <c r="AC455" s="131"/>
    </row>
    <row r="456" spans="2:29" x14ac:dyDescent="0.2">
      <c r="B456" s="151"/>
      <c r="C456" s="152"/>
      <c r="H456" s="340"/>
      <c r="L456" s="131"/>
      <c r="M456" s="131"/>
      <c r="N456" s="131"/>
      <c r="O456" s="131"/>
      <c r="P456" s="131"/>
      <c r="Q456" s="131"/>
      <c r="R456" s="131"/>
      <c r="S456" s="131"/>
      <c r="T456" s="131"/>
      <c r="U456" s="131"/>
      <c r="V456" s="131"/>
      <c r="W456" s="131"/>
      <c r="X456" s="131"/>
      <c r="Y456" s="131"/>
      <c r="Z456" s="131"/>
      <c r="AA456" s="131"/>
      <c r="AB456" s="131"/>
      <c r="AC456" s="131"/>
    </row>
    <row r="457" spans="2:29" x14ac:dyDescent="0.2">
      <c r="B457" s="151"/>
      <c r="C457" s="152"/>
      <c r="H457" s="340"/>
      <c r="L457" s="131"/>
      <c r="M457" s="131"/>
      <c r="N457" s="131"/>
      <c r="O457" s="131"/>
      <c r="P457" s="131"/>
      <c r="Q457" s="131"/>
      <c r="R457" s="131"/>
      <c r="S457" s="131"/>
      <c r="T457" s="131"/>
      <c r="U457" s="131"/>
      <c r="V457" s="131"/>
      <c r="W457" s="131"/>
      <c r="X457" s="131"/>
      <c r="Y457" s="131"/>
      <c r="Z457" s="131"/>
      <c r="AA457" s="131"/>
      <c r="AB457" s="131"/>
      <c r="AC457" s="131"/>
    </row>
    <row r="458" spans="2:29" x14ac:dyDescent="0.2">
      <c r="B458" s="151"/>
      <c r="C458" s="152"/>
      <c r="H458" s="340"/>
      <c r="L458" s="131"/>
      <c r="M458" s="131"/>
      <c r="N458" s="131"/>
      <c r="O458" s="131"/>
      <c r="P458" s="131"/>
      <c r="Q458" s="131"/>
      <c r="R458" s="131"/>
      <c r="S458" s="131"/>
      <c r="T458" s="131"/>
      <c r="U458" s="131"/>
      <c r="V458" s="131"/>
      <c r="W458" s="131"/>
      <c r="X458" s="131"/>
      <c r="Y458" s="131"/>
      <c r="Z458" s="131"/>
      <c r="AA458" s="131"/>
      <c r="AB458" s="131"/>
      <c r="AC458" s="131"/>
    </row>
    <row r="459" spans="2:29" x14ac:dyDescent="0.2">
      <c r="B459" s="151"/>
      <c r="C459" s="152"/>
      <c r="H459" s="340"/>
      <c r="L459" s="131"/>
      <c r="M459" s="131"/>
      <c r="N459" s="131"/>
      <c r="O459" s="131"/>
      <c r="P459" s="131"/>
      <c r="Q459" s="131"/>
      <c r="R459" s="131"/>
      <c r="S459" s="131"/>
      <c r="T459" s="131"/>
      <c r="U459" s="131"/>
      <c r="V459" s="131"/>
      <c r="W459" s="131"/>
      <c r="X459" s="131"/>
      <c r="Y459" s="131"/>
      <c r="Z459" s="131"/>
      <c r="AA459" s="131"/>
      <c r="AB459" s="131"/>
      <c r="AC459" s="131"/>
    </row>
    <row r="460" spans="2:29" x14ac:dyDescent="0.2">
      <c r="B460" s="151"/>
      <c r="C460" s="152"/>
      <c r="H460" s="340"/>
      <c r="L460" s="131"/>
      <c r="M460" s="131"/>
      <c r="N460" s="131"/>
      <c r="O460" s="131"/>
      <c r="P460" s="131"/>
      <c r="Q460" s="131"/>
      <c r="R460" s="131"/>
      <c r="S460" s="131"/>
      <c r="T460" s="131"/>
      <c r="U460" s="131"/>
      <c r="V460" s="131"/>
      <c r="W460" s="131"/>
      <c r="X460" s="131"/>
      <c r="Y460" s="131"/>
      <c r="Z460" s="131"/>
      <c r="AA460" s="131"/>
      <c r="AB460" s="131"/>
      <c r="AC460" s="131"/>
    </row>
    <row r="461" spans="2:29" x14ac:dyDescent="0.2">
      <c r="B461" s="151"/>
      <c r="C461" s="152"/>
      <c r="H461" s="340"/>
      <c r="L461" s="131"/>
      <c r="M461" s="131"/>
      <c r="N461" s="131"/>
      <c r="O461" s="131"/>
      <c r="P461" s="131"/>
      <c r="Q461" s="131"/>
      <c r="R461" s="131"/>
      <c r="S461" s="131"/>
      <c r="T461" s="131"/>
      <c r="U461" s="131"/>
      <c r="V461" s="131"/>
      <c r="W461" s="131"/>
      <c r="X461" s="131"/>
      <c r="Y461" s="131"/>
      <c r="Z461" s="131"/>
      <c r="AA461" s="131"/>
      <c r="AB461" s="131"/>
      <c r="AC461" s="131"/>
    </row>
    <row r="462" spans="2:29" x14ac:dyDescent="0.2">
      <c r="B462" s="151"/>
      <c r="C462" s="152"/>
      <c r="H462" s="340"/>
      <c r="L462" s="131"/>
      <c r="M462" s="131"/>
      <c r="N462" s="131"/>
      <c r="O462" s="131"/>
      <c r="P462" s="131"/>
      <c r="Q462" s="131"/>
      <c r="R462" s="131"/>
      <c r="S462" s="131"/>
      <c r="T462" s="131"/>
      <c r="U462" s="131"/>
      <c r="V462" s="131"/>
      <c r="W462" s="131"/>
      <c r="X462" s="131"/>
      <c r="Y462" s="131"/>
      <c r="Z462" s="131"/>
      <c r="AA462" s="131"/>
      <c r="AB462" s="131"/>
      <c r="AC462" s="131"/>
    </row>
    <row r="463" spans="2:29" x14ac:dyDescent="0.2">
      <c r="B463" s="151"/>
      <c r="C463" s="152"/>
      <c r="H463" s="340"/>
      <c r="L463" s="131"/>
      <c r="M463" s="131"/>
      <c r="N463" s="131"/>
      <c r="O463" s="131"/>
      <c r="P463" s="131"/>
      <c r="Q463" s="131"/>
      <c r="R463" s="131"/>
      <c r="S463" s="131"/>
      <c r="T463" s="131"/>
      <c r="U463" s="131"/>
      <c r="V463" s="131"/>
      <c r="W463" s="131"/>
      <c r="X463" s="131"/>
      <c r="Y463" s="131"/>
      <c r="Z463" s="131"/>
      <c r="AA463" s="131"/>
      <c r="AB463" s="131"/>
      <c r="AC463" s="131"/>
    </row>
    <row r="464" spans="2:29" x14ac:dyDescent="0.2">
      <c r="B464" s="151"/>
      <c r="C464" s="152"/>
      <c r="H464" s="340"/>
      <c r="L464" s="131"/>
      <c r="M464" s="131"/>
      <c r="N464" s="131"/>
      <c r="O464" s="131"/>
      <c r="P464" s="131"/>
      <c r="Q464" s="131"/>
      <c r="R464" s="131"/>
      <c r="S464" s="131"/>
      <c r="T464" s="131"/>
      <c r="U464" s="131"/>
      <c r="V464" s="131"/>
      <c r="W464" s="131"/>
      <c r="X464" s="131"/>
      <c r="Y464" s="131"/>
      <c r="Z464" s="131"/>
      <c r="AA464" s="131"/>
      <c r="AB464" s="131"/>
      <c r="AC464" s="131"/>
    </row>
    <row r="465" spans="2:29" x14ac:dyDescent="0.2">
      <c r="B465" s="151"/>
      <c r="C465" s="152"/>
      <c r="H465" s="340"/>
      <c r="L465" s="131"/>
      <c r="M465" s="131"/>
      <c r="N465" s="131"/>
      <c r="O465" s="131"/>
      <c r="P465" s="131"/>
      <c r="Q465" s="131"/>
      <c r="R465" s="131"/>
      <c r="S465" s="131"/>
      <c r="T465" s="131"/>
      <c r="U465" s="131"/>
      <c r="V465" s="131"/>
      <c r="W465" s="131"/>
      <c r="X465" s="131"/>
      <c r="Y465" s="131"/>
      <c r="Z465" s="131"/>
      <c r="AA465" s="131"/>
      <c r="AB465" s="131"/>
      <c r="AC465" s="131"/>
    </row>
    <row r="466" spans="2:29" x14ac:dyDescent="0.2">
      <c r="B466" s="151"/>
      <c r="C466" s="152"/>
      <c r="H466" s="340"/>
      <c r="L466" s="131"/>
      <c r="M466" s="131"/>
      <c r="N466" s="131"/>
      <c r="O466" s="131"/>
      <c r="P466" s="131"/>
      <c r="Q466" s="131"/>
      <c r="R466" s="131"/>
      <c r="S466" s="131"/>
      <c r="T466" s="131"/>
      <c r="U466" s="131"/>
      <c r="V466" s="131"/>
      <c r="W466" s="131"/>
      <c r="X466" s="131"/>
      <c r="Y466" s="131"/>
      <c r="Z466" s="131"/>
      <c r="AA466" s="131"/>
      <c r="AB466" s="131"/>
      <c r="AC466" s="131"/>
    </row>
    <row r="467" spans="2:29" x14ac:dyDescent="0.2">
      <c r="B467" s="151"/>
      <c r="C467" s="152"/>
      <c r="H467" s="340"/>
      <c r="L467" s="131"/>
      <c r="M467" s="131"/>
      <c r="N467" s="131"/>
      <c r="O467" s="131"/>
      <c r="P467" s="131"/>
      <c r="Q467" s="131"/>
      <c r="R467" s="131"/>
      <c r="S467" s="131"/>
      <c r="T467" s="131"/>
      <c r="U467" s="131"/>
      <c r="V467" s="131"/>
      <c r="W467" s="131"/>
      <c r="X467" s="131"/>
      <c r="Y467" s="131"/>
      <c r="Z467" s="131"/>
      <c r="AA467" s="131"/>
      <c r="AB467" s="131"/>
      <c r="AC467" s="131"/>
    </row>
    <row r="468" spans="2:29" x14ac:dyDescent="0.2">
      <c r="B468" s="151"/>
      <c r="C468" s="152"/>
      <c r="H468" s="340"/>
      <c r="L468" s="131"/>
      <c r="M468" s="131"/>
      <c r="N468" s="131"/>
      <c r="O468" s="131"/>
      <c r="P468" s="131"/>
      <c r="Q468" s="131"/>
      <c r="R468" s="131"/>
      <c r="S468" s="131"/>
      <c r="T468" s="131"/>
      <c r="U468" s="131"/>
      <c r="V468" s="131"/>
      <c r="W468" s="131"/>
      <c r="X468" s="131"/>
      <c r="Y468" s="131"/>
      <c r="Z468" s="131"/>
      <c r="AA468" s="131"/>
      <c r="AB468" s="131"/>
      <c r="AC468" s="131"/>
    </row>
    <row r="469" spans="2:29" x14ac:dyDescent="0.2">
      <c r="B469" s="151"/>
      <c r="C469" s="152"/>
      <c r="H469" s="340"/>
      <c r="L469" s="131"/>
      <c r="M469" s="131"/>
      <c r="N469" s="131"/>
      <c r="O469" s="131"/>
      <c r="P469" s="131"/>
      <c r="Q469" s="131"/>
      <c r="R469" s="131"/>
      <c r="S469" s="131"/>
      <c r="T469" s="131"/>
      <c r="U469" s="131"/>
      <c r="V469" s="131"/>
      <c r="W469" s="131"/>
      <c r="X469" s="131"/>
      <c r="Y469" s="131"/>
      <c r="Z469" s="131"/>
      <c r="AA469" s="131"/>
      <c r="AB469" s="131"/>
      <c r="AC469" s="131"/>
    </row>
    <row r="470" spans="2:29" x14ac:dyDescent="0.2">
      <c r="B470" s="151"/>
      <c r="C470" s="152"/>
      <c r="H470" s="340"/>
      <c r="L470" s="131"/>
      <c r="M470" s="131"/>
      <c r="N470" s="131"/>
      <c r="O470" s="131"/>
      <c r="P470" s="131"/>
      <c r="Q470" s="131"/>
      <c r="R470" s="131"/>
      <c r="S470" s="131"/>
      <c r="T470" s="131"/>
      <c r="U470" s="131"/>
      <c r="V470" s="131"/>
      <c r="W470" s="131"/>
      <c r="X470" s="131"/>
      <c r="Y470" s="131"/>
      <c r="Z470" s="131"/>
      <c r="AA470" s="131"/>
      <c r="AB470" s="131"/>
      <c r="AC470" s="131"/>
    </row>
    <row r="471" spans="2:29" x14ac:dyDescent="0.2">
      <c r="B471" s="151"/>
      <c r="C471" s="152"/>
      <c r="H471" s="340"/>
      <c r="L471" s="131"/>
      <c r="M471" s="131"/>
      <c r="N471" s="131"/>
      <c r="O471" s="131"/>
      <c r="P471" s="131"/>
      <c r="Q471" s="131"/>
      <c r="R471" s="131"/>
      <c r="S471" s="131"/>
      <c r="T471" s="131"/>
      <c r="U471" s="131"/>
      <c r="V471" s="131"/>
      <c r="W471" s="131"/>
      <c r="X471" s="131"/>
      <c r="Y471" s="131"/>
      <c r="Z471" s="131"/>
      <c r="AA471" s="131"/>
      <c r="AB471" s="131"/>
      <c r="AC471" s="131"/>
    </row>
    <row r="472" spans="2:29" x14ac:dyDescent="0.2">
      <c r="B472" s="151"/>
      <c r="C472" s="152"/>
      <c r="H472" s="340"/>
      <c r="L472" s="131"/>
      <c r="M472" s="131"/>
      <c r="N472" s="131"/>
      <c r="O472" s="131"/>
      <c r="P472" s="131"/>
      <c r="Q472" s="131"/>
      <c r="R472" s="131"/>
      <c r="S472" s="131"/>
      <c r="T472" s="131"/>
      <c r="U472" s="131"/>
      <c r="V472" s="131"/>
      <c r="W472" s="131"/>
      <c r="X472" s="131"/>
      <c r="Y472" s="131"/>
      <c r="Z472" s="131"/>
      <c r="AA472" s="131"/>
      <c r="AB472" s="131"/>
      <c r="AC472" s="131"/>
    </row>
    <row r="473" spans="2:29" x14ac:dyDescent="0.2">
      <c r="B473" s="151"/>
      <c r="C473" s="152"/>
      <c r="H473" s="340"/>
      <c r="L473" s="131"/>
      <c r="M473" s="131"/>
      <c r="N473" s="131"/>
      <c r="O473" s="131"/>
      <c r="P473" s="131"/>
      <c r="Q473" s="131"/>
      <c r="R473" s="131"/>
      <c r="S473" s="131"/>
      <c r="T473" s="131"/>
      <c r="U473" s="131"/>
      <c r="V473" s="131"/>
      <c r="W473" s="131"/>
      <c r="X473" s="131"/>
      <c r="Y473" s="131"/>
      <c r="Z473" s="131"/>
      <c r="AA473" s="131"/>
      <c r="AB473" s="131"/>
      <c r="AC473" s="131"/>
    </row>
    <row r="474" spans="2:29" x14ac:dyDescent="0.2">
      <c r="B474" s="151"/>
      <c r="C474" s="152"/>
      <c r="H474" s="340"/>
      <c r="L474" s="131"/>
      <c r="M474" s="131"/>
      <c r="N474" s="131"/>
      <c r="O474" s="131"/>
      <c r="P474" s="131"/>
      <c r="Q474" s="131"/>
      <c r="R474" s="131"/>
      <c r="S474" s="131"/>
      <c r="T474" s="131"/>
      <c r="U474" s="131"/>
      <c r="V474" s="131"/>
      <c r="W474" s="131"/>
      <c r="X474" s="131"/>
      <c r="Y474" s="131"/>
      <c r="Z474" s="131"/>
      <c r="AA474" s="131"/>
      <c r="AB474" s="131"/>
      <c r="AC474" s="131"/>
    </row>
    <row r="475" spans="2:29" x14ac:dyDescent="0.2">
      <c r="B475" s="151"/>
      <c r="C475" s="152"/>
      <c r="H475" s="340"/>
      <c r="L475" s="131"/>
      <c r="M475" s="131"/>
      <c r="N475" s="131"/>
      <c r="O475" s="131"/>
      <c r="P475" s="131"/>
      <c r="Q475" s="131"/>
      <c r="R475" s="131"/>
      <c r="S475" s="131"/>
      <c r="T475" s="131"/>
      <c r="U475" s="131"/>
      <c r="V475" s="131"/>
      <c r="W475" s="131"/>
      <c r="X475" s="131"/>
      <c r="Y475" s="131"/>
      <c r="Z475" s="131"/>
      <c r="AA475" s="131"/>
      <c r="AB475" s="131"/>
      <c r="AC475" s="131"/>
    </row>
    <row r="476" spans="2:29" x14ac:dyDescent="0.2">
      <c r="B476" s="151"/>
      <c r="C476" s="152"/>
      <c r="H476" s="340"/>
      <c r="L476" s="131"/>
      <c r="M476" s="131"/>
      <c r="N476" s="131"/>
      <c r="O476" s="131"/>
      <c r="P476" s="131"/>
      <c r="Q476" s="131"/>
      <c r="R476" s="131"/>
      <c r="S476" s="131"/>
      <c r="T476" s="131"/>
      <c r="U476" s="131"/>
      <c r="V476" s="131"/>
      <c r="W476" s="131"/>
      <c r="X476" s="131"/>
      <c r="Y476" s="131"/>
      <c r="Z476" s="131"/>
      <c r="AA476" s="131"/>
      <c r="AB476" s="131"/>
      <c r="AC476" s="131"/>
    </row>
    <row r="477" spans="2:29" x14ac:dyDescent="0.2">
      <c r="B477" s="151"/>
      <c r="C477" s="152"/>
      <c r="H477" s="340"/>
      <c r="L477" s="131"/>
      <c r="M477" s="131"/>
      <c r="N477" s="131"/>
      <c r="O477" s="131"/>
      <c r="P477" s="131"/>
      <c r="Q477" s="131"/>
      <c r="R477" s="131"/>
      <c r="S477" s="131"/>
      <c r="T477" s="131"/>
      <c r="U477" s="131"/>
      <c r="V477" s="131"/>
      <c r="W477" s="131"/>
      <c r="X477" s="131"/>
      <c r="Y477" s="131"/>
      <c r="Z477" s="131"/>
      <c r="AA477" s="131"/>
      <c r="AB477" s="131"/>
      <c r="AC477" s="131"/>
    </row>
    <row r="478" spans="2:29" x14ac:dyDescent="0.2">
      <c r="B478" s="151"/>
      <c r="C478" s="152"/>
      <c r="H478" s="340"/>
      <c r="L478" s="131"/>
      <c r="M478" s="131"/>
      <c r="N478" s="131"/>
      <c r="O478" s="131"/>
      <c r="P478" s="131"/>
      <c r="Q478" s="131"/>
      <c r="R478" s="131"/>
      <c r="S478" s="131"/>
      <c r="T478" s="131"/>
      <c r="U478" s="131"/>
      <c r="V478" s="131"/>
      <c r="W478" s="131"/>
      <c r="X478" s="131"/>
      <c r="Y478" s="131"/>
      <c r="Z478" s="131"/>
      <c r="AA478" s="131"/>
      <c r="AB478" s="131"/>
      <c r="AC478" s="131"/>
    </row>
    <row r="479" spans="2:29" x14ac:dyDescent="0.2">
      <c r="B479" s="151"/>
      <c r="C479" s="152"/>
      <c r="H479" s="340"/>
      <c r="L479" s="131"/>
      <c r="M479" s="131"/>
      <c r="N479" s="131"/>
      <c r="O479" s="131"/>
      <c r="P479" s="131"/>
      <c r="Q479" s="131"/>
      <c r="R479" s="131"/>
      <c r="S479" s="131"/>
      <c r="T479" s="131"/>
      <c r="U479" s="131"/>
      <c r="V479" s="131"/>
      <c r="W479" s="131"/>
      <c r="X479" s="131"/>
      <c r="Y479" s="131"/>
      <c r="Z479" s="131"/>
      <c r="AA479" s="131"/>
      <c r="AB479" s="131"/>
      <c r="AC479" s="131"/>
    </row>
    <row r="480" spans="2:29" x14ac:dyDescent="0.2">
      <c r="B480" s="151"/>
      <c r="C480" s="152"/>
      <c r="H480" s="340"/>
      <c r="L480" s="131"/>
      <c r="M480" s="131"/>
      <c r="N480" s="131"/>
      <c r="O480" s="131"/>
      <c r="P480" s="131"/>
      <c r="Q480" s="131"/>
      <c r="R480" s="131"/>
      <c r="S480" s="131"/>
      <c r="T480" s="131"/>
      <c r="U480" s="131"/>
      <c r="V480" s="131"/>
      <c r="W480" s="131"/>
      <c r="X480" s="131"/>
      <c r="Y480" s="131"/>
      <c r="Z480" s="131"/>
      <c r="AA480" s="131"/>
      <c r="AB480" s="131"/>
      <c r="AC480" s="131"/>
    </row>
    <row r="481" spans="2:29" x14ac:dyDescent="0.2">
      <c r="B481" s="151"/>
      <c r="C481" s="152"/>
      <c r="H481" s="340"/>
      <c r="L481" s="131"/>
      <c r="M481" s="131"/>
      <c r="N481" s="131"/>
      <c r="O481" s="131"/>
      <c r="P481" s="131"/>
      <c r="Q481" s="131"/>
      <c r="R481" s="131"/>
      <c r="S481" s="131"/>
      <c r="T481" s="131"/>
      <c r="U481" s="131"/>
      <c r="V481" s="131"/>
      <c r="W481" s="131"/>
      <c r="X481" s="131"/>
      <c r="Y481" s="131"/>
      <c r="Z481" s="131"/>
      <c r="AA481" s="131"/>
      <c r="AB481" s="131"/>
      <c r="AC481" s="131"/>
    </row>
    <row r="482" spans="2:29" x14ac:dyDescent="0.2">
      <c r="B482" s="151"/>
      <c r="C482" s="152"/>
      <c r="H482" s="340"/>
      <c r="L482" s="131"/>
      <c r="M482" s="131"/>
      <c r="N482" s="131"/>
      <c r="O482" s="131"/>
      <c r="P482" s="131"/>
      <c r="Q482" s="131"/>
      <c r="R482" s="131"/>
      <c r="S482" s="131"/>
      <c r="T482" s="131"/>
      <c r="U482" s="131"/>
      <c r="V482" s="131"/>
      <c r="W482" s="131"/>
      <c r="X482" s="131"/>
      <c r="Y482" s="131"/>
      <c r="Z482" s="131"/>
      <c r="AA482" s="131"/>
      <c r="AB482" s="131"/>
      <c r="AC482" s="131"/>
    </row>
    <row r="483" spans="2:29" x14ac:dyDescent="0.2">
      <c r="B483" s="151"/>
      <c r="C483" s="152"/>
      <c r="H483" s="340"/>
      <c r="L483" s="131"/>
      <c r="M483" s="131"/>
      <c r="N483" s="131"/>
      <c r="O483" s="131"/>
      <c r="P483" s="131"/>
      <c r="Q483" s="131"/>
      <c r="R483" s="131"/>
      <c r="S483" s="131"/>
      <c r="T483" s="131"/>
      <c r="U483" s="131"/>
      <c r="V483" s="131"/>
      <c r="W483" s="131"/>
      <c r="X483" s="131"/>
      <c r="Y483" s="131"/>
      <c r="Z483" s="131"/>
      <c r="AA483" s="131"/>
      <c r="AB483" s="131"/>
      <c r="AC483" s="131"/>
    </row>
    <row r="484" spans="2:29" x14ac:dyDescent="0.2">
      <c r="B484" s="151"/>
      <c r="C484" s="152"/>
      <c r="H484" s="340"/>
      <c r="L484" s="131"/>
      <c r="M484" s="131"/>
      <c r="N484" s="131"/>
      <c r="O484" s="131"/>
      <c r="P484" s="131"/>
      <c r="Q484" s="131"/>
      <c r="R484" s="131"/>
      <c r="S484" s="131"/>
      <c r="T484" s="131"/>
      <c r="U484" s="131"/>
      <c r="V484" s="131"/>
      <c r="W484" s="131"/>
      <c r="X484" s="131"/>
      <c r="Y484" s="131"/>
      <c r="Z484" s="131"/>
      <c r="AA484" s="131"/>
      <c r="AB484" s="131"/>
      <c r="AC484" s="131"/>
    </row>
    <row r="485" spans="2:29" x14ac:dyDescent="0.2">
      <c r="B485" s="151"/>
      <c r="C485" s="152"/>
      <c r="H485" s="340"/>
      <c r="L485" s="131"/>
      <c r="M485" s="131"/>
      <c r="N485" s="131"/>
      <c r="O485" s="131"/>
      <c r="P485" s="131"/>
      <c r="Q485" s="131"/>
      <c r="R485" s="131"/>
      <c r="S485" s="131"/>
      <c r="T485" s="131"/>
      <c r="U485" s="131"/>
      <c r="V485" s="131"/>
      <c r="W485" s="131"/>
      <c r="X485" s="131"/>
      <c r="Y485" s="131"/>
      <c r="Z485" s="131"/>
      <c r="AA485" s="131"/>
      <c r="AB485" s="131"/>
      <c r="AC485" s="131"/>
    </row>
    <row r="486" spans="2:29" x14ac:dyDescent="0.2">
      <c r="B486" s="151"/>
      <c r="C486" s="152"/>
      <c r="H486" s="340"/>
      <c r="L486" s="131"/>
      <c r="M486" s="131"/>
      <c r="N486" s="131"/>
      <c r="O486" s="131"/>
      <c r="P486" s="131"/>
      <c r="Q486" s="131"/>
      <c r="R486" s="131"/>
      <c r="S486" s="131"/>
      <c r="T486" s="131"/>
      <c r="U486" s="131"/>
      <c r="V486" s="131"/>
      <c r="W486" s="131"/>
      <c r="X486" s="131"/>
      <c r="Y486" s="131"/>
      <c r="Z486" s="131"/>
      <c r="AA486" s="131"/>
      <c r="AB486" s="131"/>
      <c r="AC486" s="131"/>
    </row>
    <row r="487" spans="2:29" x14ac:dyDescent="0.2">
      <c r="B487" s="151"/>
      <c r="C487" s="152"/>
      <c r="H487" s="340"/>
      <c r="L487" s="131"/>
      <c r="M487" s="131"/>
      <c r="N487" s="131"/>
      <c r="O487" s="131"/>
      <c r="P487" s="131"/>
      <c r="Q487" s="131"/>
      <c r="R487" s="131"/>
      <c r="S487" s="131"/>
      <c r="T487" s="131"/>
      <c r="U487" s="131"/>
      <c r="V487" s="131"/>
      <c r="W487" s="131"/>
      <c r="X487" s="131"/>
      <c r="Y487" s="131"/>
      <c r="Z487" s="131"/>
      <c r="AA487" s="131"/>
      <c r="AB487" s="131"/>
      <c r="AC487" s="131"/>
    </row>
    <row r="488" spans="2:29" x14ac:dyDescent="0.2">
      <c r="B488" s="151"/>
      <c r="C488" s="152"/>
      <c r="H488" s="340"/>
      <c r="L488" s="131"/>
      <c r="M488" s="131"/>
      <c r="N488" s="131"/>
      <c r="O488" s="131"/>
      <c r="P488" s="131"/>
      <c r="Q488" s="131"/>
      <c r="R488" s="131"/>
      <c r="S488" s="131"/>
      <c r="T488" s="131"/>
      <c r="U488" s="131"/>
      <c r="V488" s="131"/>
      <c r="W488" s="131"/>
      <c r="X488" s="131"/>
      <c r="Y488" s="131"/>
      <c r="Z488" s="131"/>
      <c r="AA488" s="131"/>
      <c r="AB488" s="131"/>
      <c r="AC488" s="131"/>
    </row>
    <row r="489" spans="2:29" x14ac:dyDescent="0.2">
      <c r="B489" s="151"/>
      <c r="C489" s="152"/>
      <c r="H489" s="340"/>
      <c r="L489" s="131"/>
      <c r="M489" s="131"/>
      <c r="N489" s="131"/>
      <c r="O489" s="131"/>
      <c r="P489" s="131"/>
      <c r="Q489" s="131"/>
      <c r="R489" s="131"/>
      <c r="S489" s="131"/>
      <c r="T489" s="131"/>
      <c r="U489" s="131"/>
      <c r="V489" s="131"/>
      <c r="W489" s="131"/>
      <c r="X489" s="131"/>
      <c r="Y489" s="131"/>
      <c r="Z489" s="131"/>
      <c r="AA489" s="131"/>
      <c r="AB489" s="131"/>
      <c r="AC489" s="131"/>
    </row>
    <row r="490" spans="2:29" x14ac:dyDescent="0.2">
      <c r="B490" s="151"/>
      <c r="C490" s="152"/>
      <c r="H490" s="340"/>
      <c r="L490" s="131"/>
      <c r="M490" s="131"/>
      <c r="N490" s="131"/>
      <c r="O490" s="131"/>
      <c r="P490" s="131"/>
      <c r="Q490" s="131"/>
      <c r="R490" s="131"/>
      <c r="S490" s="131"/>
      <c r="T490" s="131"/>
      <c r="U490" s="131"/>
      <c r="V490" s="131"/>
      <c r="W490" s="131"/>
      <c r="X490" s="131"/>
      <c r="Y490" s="131"/>
      <c r="Z490" s="131"/>
      <c r="AA490" s="131"/>
      <c r="AB490" s="131"/>
      <c r="AC490" s="131"/>
    </row>
    <row r="491" spans="2:29" ht="13.5" customHeight="1" x14ac:dyDescent="0.2">
      <c r="B491" s="151"/>
      <c r="C491" s="152"/>
      <c r="H491" s="340"/>
      <c r="L491" s="131"/>
      <c r="M491" s="131"/>
      <c r="N491" s="131"/>
      <c r="O491" s="131"/>
      <c r="P491" s="131"/>
      <c r="Q491" s="131"/>
      <c r="R491" s="131"/>
      <c r="S491" s="131"/>
      <c r="T491" s="131"/>
      <c r="U491" s="131"/>
      <c r="V491" s="131"/>
      <c r="W491" s="131"/>
      <c r="X491" s="131"/>
      <c r="Y491" s="131"/>
      <c r="Z491" s="131"/>
      <c r="AA491" s="131"/>
      <c r="AB491" s="131"/>
      <c r="AC491" s="131"/>
    </row>
    <row r="492" spans="2:29" x14ac:dyDescent="0.2">
      <c r="B492" s="151"/>
      <c r="C492" s="152"/>
      <c r="H492" s="340"/>
      <c r="L492" s="131"/>
      <c r="M492" s="131"/>
      <c r="N492" s="131"/>
      <c r="O492" s="131"/>
      <c r="P492" s="131"/>
      <c r="Q492" s="131"/>
      <c r="R492" s="131"/>
      <c r="S492" s="131"/>
      <c r="T492" s="131"/>
      <c r="U492" s="131"/>
      <c r="V492" s="131"/>
      <c r="W492" s="131"/>
      <c r="X492" s="131"/>
      <c r="Y492" s="131"/>
      <c r="Z492" s="131"/>
      <c r="AA492" s="131"/>
      <c r="AB492" s="131"/>
      <c r="AC492" s="131"/>
    </row>
    <row r="493" spans="2:29" x14ac:dyDescent="0.2">
      <c r="B493" s="151"/>
      <c r="C493" s="152"/>
      <c r="H493" s="340"/>
      <c r="L493" s="131"/>
      <c r="M493" s="131"/>
      <c r="N493" s="131"/>
      <c r="O493" s="131"/>
      <c r="P493" s="131"/>
      <c r="Q493" s="131"/>
      <c r="R493" s="131"/>
      <c r="S493" s="131"/>
      <c r="T493" s="131"/>
      <c r="U493" s="131"/>
      <c r="V493" s="131"/>
      <c r="W493" s="131"/>
      <c r="X493" s="131"/>
      <c r="Y493" s="131"/>
      <c r="Z493" s="131"/>
      <c r="AA493" s="131"/>
      <c r="AB493" s="131"/>
      <c r="AC493" s="131"/>
    </row>
    <row r="494" spans="2:29" x14ac:dyDescent="0.2">
      <c r="B494" s="151"/>
      <c r="C494" s="152"/>
      <c r="H494" s="340"/>
      <c r="L494" s="131"/>
      <c r="M494" s="131"/>
      <c r="N494" s="131"/>
      <c r="O494" s="131"/>
      <c r="P494" s="131"/>
      <c r="Q494" s="131"/>
      <c r="R494" s="131"/>
      <c r="S494" s="131"/>
      <c r="T494" s="131"/>
      <c r="U494" s="131"/>
      <c r="V494" s="131"/>
      <c r="W494" s="131"/>
      <c r="X494" s="131"/>
      <c r="Y494" s="131"/>
      <c r="Z494" s="131"/>
      <c r="AA494" s="131"/>
      <c r="AB494" s="131"/>
      <c r="AC494" s="131"/>
    </row>
    <row r="495" spans="2:29" x14ac:dyDescent="0.2">
      <c r="B495" s="151"/>
      <c r="C495" s="152"/>
      <c r="H495" s="340"/>
      <c r="L495" s="131"/>
      <c r="M495" s="131"/>
      <c r="N495" s="131"/>
      <c r="O495" s="131"/>
      <c r="P495" s="131"/>
      <c r="Q495" s="131"/>
      <c r="R495" s="131"/>
      <c r="S495" s="131"/>
      <c r="T495" s="131"/>
      <c r="U495" s="131"/>
      <c r="V495" s="131"/>
      <c r="W495" s="131"/>
      <c r="X495" s="131"/>
      <c r="Y495" s="131"/>
      <c r="Z495" s="131"/>
      <c r="AA495" s="131"/>
      <c r="AB495" s="131"/>
      <c r="AC495" s="131"/>
    </row>
    <row r="496" spans="2:29" x14ac:dyDescent="0.2">
      <c r="B496" s="151"/>
      <c r="C496" s="152"/>
      <c r="H496" s="340"/>
      <c r="L496" s="131"/>
      <c r="M496" s="131"/>
      <c r="N496" s="131"/>
      <c r="O496" s="131"/>
      <c r="P496" s="131"/>
      <c r="Q496" s="131"/>
      <c r="R496" s="131"/>
      <c r="S496" s="131"/>
      <c r="T496" s="131"/>
      <c r="U496" s="131"/>
      <c r="V496" s="131"/>
      <c r="W496" s="131"/>
      <c r="X496" s="131"/>
      <c r="Y496" s="131"/>
      <c r="Z496" s="131"/>
      <c r="AA496" s="131"/>
      <c r="AB496" s="131"/>
      <c r="AC496" s="131"/>
    </row>
    <row r="497" spans="1:29" x14ac:dyDescent="0.2">
      <c r="B497" s="151"/>
      <c r="C497" s="152"/>
      <c r="H497" s="340"/>
      <c r="L497" s="131"/>
      <c r="M497" s="131"/>
      <c r="N497" s="131"/>
      <c r="O497" s="131"/>
      <c r="P497" s="131"/>
      <c r="Q497" s="131"/>
      <c r="R497" s="131"/>
      <c r="S497" s="131"/>
      <c r="T497" s="131"/>
      <c r="U497" s="131"/>
      <c r="V497" s="131"/>
      <c r="W497" s="131"/>
      <c r="X497" s="131"/>
      <c r="Y497" s="131"/>
      <c r="Z497" s="131"/>
      <c r="AA497" s="131"/>
      <c r="AB497" s="131"/>
      <c r="AC497" s="131"/>
    </row>
    <row r="498" spans="1:29" x14ac:dyDescent="0.2">
      <c r="A498" s="1343"/>
      <c r="B498" s="151"/>
      <c r="C498" s="152"/>
      <c r="H498" s="340"/>
      <c r="L498" s="131"/>
      <c r="M498" s="131"/>
      <c r="N498" s="131"/>
      <c r="O498" s="131"/>
      <c r="P498" s="131"/>
      <c r="Q498" s="131"/>
      <c r="R498" s="131"/>
      <c r="S498" s="131"/>
      <c r="T498" s="131"/>
      <c r="U498" s="131"/>
      <c r="V498" s="131"/>
      <c r="W498" s="131"/>
      <c r="X498" s="131"/>
      <c r="Y498" s="131"/>
      <c r="Z498" s="131"/>
      <c r="AA498" s="131"/>
      <c r="AB498" s="131"/>
      <c r="AC498" s="131"/>
    </row>
    <row r="499" spans="1:29" x14ac:dyDescent="0.2">
      <c r="B499" s="151"/>
      <c r="C499" s="152"/>
      <c r="H499" s="340"/>
      <c r="L499" s="131"/>
      <c r="M499" s="131"/>
      <c r="N499" s="131"/>
      <c r="O499" s="131"/>
      <c r="P499" s="131"/>
      <c r="Q499" s="131"/>
      <c r="R499" s="131"/>
      <c r="S499" s="131"/>
      <c r="T499" s="131"/>
      <c r="U499" s="131"/>
      <c r="V499" s="131"/>
      <c r="W499" s="131"/>
      <c r="X499" s="131"/>
      <c r="Y499" s="131"/>
      <c r="Z499" s="131"/>
      <c r="AA499" s="131"/>
      <c r="AB499" s="131"/>
      <c r="AC499" s="131"/>
    </row>
    <row r="500" spans="1:29" x14ac:dyDescent="0.2">
      <c r="B500" s="151"/>
      <c r="C500" s="152"/>
      <c r="H500" s="340"/>
      <c r="L500" s="131"/>
      <c r="M500" s="131"/>
      <c r="N500" s="131"/>
      <c r="O500" s="131"/>
      <c r="P500" s="131"/>
      <c r="Q500" s="131"/>
      <c r="R500" s="131"/>
      <c r="S500" s="131"/>
      <c r="T500" s="131"/>
      <c r="U500" s="131"/>
      <c r="V500" s="131"/>
      <c r="W500" s="131"/>
      <c r="X500" s="131"/>
      <c r="Y500" s="131"/>
      <c r="Z500" s="131"/>
      <c r="AA500" s="131"/>
      <c r="AB500" s="131"/>
      <c r="AC500" s="131"/>
    </row>
    <row r="501" spans="1:29" x14ac:dyDescent="0.2">
      <c r="B501" s="151"/>
      <c r="C501" s="152"/>
      <c r="H501" s="340"/>
      <c r="L501" s="131"/>
      <c r="M501" s="131"/>
      <c r="N501" s="131"/>
      <c r="O501" s="131"/>
      <c r="P501" s="131"/>
      <c r="Q501" s="131"/>
      <c r="R501" s="131"/>
      <c r="S501" s="131"/>
      <c r="T501" s="131"/>
      <c r="U501" s="131"/>
      <c r="V501" s="131"/>
      <c r="W501" s="131"/>
      <c r="X501" s="131"/>
      <c r="Y501" s="131"/>
      <c r="Z501" s="131"/>
      <c r="AA501" s="131"/>
      <c r="AB501" s="131"/>
      <c r="AC501" s="131"/>
    </row>
    <row r="502" spans="1:29" x14ac:dyDescent="0.2">
      <c r="B502" s="151"/>
      <c r="C502" s="152"/>
      <c r="H502" s="340"/>
      <c r="L502" s="131"/>
      <c r="M502" s="131"/>
      <c r="N502" s="131"/>
      <c r="O502" s="131"/>
      <c r="P502" s="131"/>
      <c r="Q502" s="131"/>
      <c r="R502" s="131"/>
      <c r="S502" s="131"/>
      <c r="T502" s="131"/>
      <c r="U502" s="131"/>
      <c r="V502" s="131"/>
      <c r="W502" s="131"/>
      <c r="X502" s="131"/>
      <c r="Y502" s="131"/>
      <c r="Z502" s="131"/>
      <c r="AA502" s="131"/>
      <c r="AB502" s="131"/>
      <c r="AC502" s="131"/>
    </row>
    <row r="503" spans="1:29" x14ac:dyDescent="0.2">
      <c r="B503" s="151"/>
      <c r="C503" s="152"/>
      <c r="H503" s="340"/>
      <c r="L503" s="131"/>
      <c r="M503" s="131"/>
      <c r="N503" s="131"/>
      <c r="O503" s="131"/>
      <c r="P503" s="131"/>
      <c r="Q503" s="131"/>
      <c r="R503" s="131"/>
      <c r="S503" s="131"/>
      <c r="T503" s="131"/>
      <c r="U503" s="131"/>
      <c r="V503" s="131"/>
      <c r="W503" s="131"/>
      <c r="X503" s="131"/>
      <c r="Y503" s="131"/>
      <c r="Z503" s="131"/>
      <c r="AA503" s="131"/>
      <c r="AB503" s="131"/>
      <c r="AC503" s="131"/>
    </row>
    <row r="504" spans="1:29" x14ac:dyDescent="0.2">
      <c r="B504" s="151"/>
      <c r="C504" s="152"/>
      <c r="H504" s="340"/>
      <c r="L504" s="131"/>
      <c r="M504" s="131"/>
      <c r="N504" s="131"/>
      <c r="O504" s="131"/>
      <c r="P504" s="131"/>
      <c r="Q504" s="131"/>
      <c r="R504" s="131"/>
      <c r="S504" s="131"/>
      <c r="T504" s="131"/>
      <c r="U504" s="131"/>
      <c r="V504" s="131"/>
      <c r="W504" s="131"/>
      <c r="X504" s="131"/>
      <c r="Y504" s="131"/>
      <c r="Z504" s="131"/>
      <c r="AA504" s="131"/>
      <c r="AB504" s="131"/>
      <c r="AC504" s="131"/>
    </row>
    <row r="505" spans="1:29" x14ac:dyDescent="0.2">
      <c r="B505" s="151"/>
      <c r="C505" s="152"/>
      <c r="H505" s="340"/>
      <c r="L505" s="131"/>
      <c r="M505" s="131"/>
      <c r="N505" s="131"/>
      <c r="O505" s="131"/>
      <c r="P505" s="131"/>
      <c r="Q505" s="131"/>
      <c r="R505" s="131"/>
      <c r="S505" s="131"/>
      <c r="T505" s="131"/>
      <c r="U505" s="131"/>
      <c r="V505" s="131"/>
      <c r="W505" s="131"/>
      <c r="X505" s="131"/>
      <c r="Y505" s="131"/>
      <c r="Z505" s="131"/>
      <c r="AA505" s="131"/>
      <c r="AB505" s="131"/>
      <c r="AC505" s="131"/>
    </row>
    <row r="506" spans="1:29" x14ac:dyDescent="0.2">
      <c r="B506" s="151"/>
      <c r="C506" s="152"/>
      <c r="H506" s="340"/>
      <c r="L506" s="131"/>
      <c r="M506" s="131"/>
      <c r="N506" s="131"/>
      <c r="O506" s="131"/>
      <c r="P506" s="131"/>
      <c r="Q506" s="131"/>
      <c r="R506" s="131"/>
      <c r="S506" s="131"/>
      <c r="T506" s="131"/>
      <c r="U506" s="131"/>
      <c r="V506" s="131"/>
      <c r="W506" s="131"/>
      <c r="X506" s="131"/>
      <c r="Y506" s="131"/>
      <c r="Z506" s="131"/>
      <c r="AA506" s="131"/>
      <c r="AB506" s="131"/>
      <c r="AC506" s="131"/>
    </row>
    <row r="507" spans="1:29" x14ac:dyDescent="0.2">
      <c r="B507" s="151"/>
      <c r="C507" s="152"/>
      <c r="H507" s="340"/>
      <c r="L507" s="131"/>
      <c r="M507" s="131"/>
      <c r="N507" s="131"/>
      <c r="O507" s="131"/>
      <c r="P507" s="131"/>
      <c r="Q507" s="131"/>
      <c r="R507" s="131"/>
      <c r="S507" s="131"/>
      <c r="T507" s="131"/>
      <c r="U507" s="131"/>
      <c r="V507" s="131"/>
      <c r="W507" s="131"/>
      <c r="X507" s="131"/>
      <c r="Y507" s="131"/>
      <c r="Z507" s="131"/>
      <c r="AA507" s="131"/>
      <c r="AB507" s="131"/>
      <c r="AC507" s="131"/>
    </row>
    <row r="508" spans="1:29" x14ac:dyDescent="0.2">
      <c r="B508" s="151"/>
      <c r="C508" s="152"/>
      <c r="H508" s="340"/>
      <c r="L508" s="131"/>
      <c r="M508" s="131"/>
      <c r="N508" s="131"/>
      <c r="O508" s="131"/>
      <c r="P508" s="131"/>
      <c r="Q508" s="131"/>
      <c r="R508" s="131"/>
      <c r="S508" s="131"/>
      <c r="T508" s="131"/>
      <c r="U508" s="131"/>
      <c r="V508" s="131"/>
      <c r="W508" s="131"/>
      <c r="X508" s="131"/>
      <c r="Y508" s="131"/>
      <c r="Z508" s="131"/>
      <c r="AA508" s="131"/>
      <c r="AB508" s="131"/>
      <c r="AC508" s="131"/>
    </row>
    <row r="509" spans="1:29" x14ac:dyDescent="0.2">
      <c r="B509" s="151"/>
      <c r="C509" s="152"/>
      <c r="H509" s="340"/>
      <c r="L509" s="131"/>
      <c r="M509" s="131"/>
      <c r="N509" s="131"/>
      <c r="O509" s="131"/>
      <c r="P509" s="131"/>
      <c r="Q509" s="131"/>
      <c r="R509" s="131"/>
      <c r="S509" s="131"/>
      <c r="T509" s="131"/>
      <c r="U509" s="131"/>
      <c r="V509" s="131"/>
      <c r="W509" s="131"/>
      <c r="X509" s="131"/>
      <c r="Y509" s="131"/>
      <c r="Z509" s="131"/>
      <c r="AA509" s="131"/>
      <c r="AB509" s="131"/>
      <c r="AC509" s="131"/>
    </row>
    <row r="510" spans="1:29" x14ac:dyDescent="0.2">
      <c r="B510" s="151"/>
      <c r="C510" s="152"/>
      <c r="H510" s="340"/>
      <c r="L510" s="131"/>
      <c r="M510" s="131"/>
      <c r="N510" s="131"/>
      <c r="O510" s="131"/>
      <c r="P510" s="131"/>
      <c r="Q510" s="131"/>
      <c r="R510" s="131"/>
      <c r="S510" s="131"/>
      <c r="T510" s="131"/>
      <c r="U510" s="131"/>
      <c r="V510" s="131"/>
      <c r="W510" s="131"/>
      <c r="X510" s="131"/>
      <c r="Y510" s="131"/>
      <c r="Z510" s="131"/>
      <c r="AA510" s="131"/>
      <c r="AB510" s="131"/>
      <c r="AC510" s="131"/>
    </row>
    <row r="511" spans="1:29" x14ac:dyDescent="0.2">
      <c r="B511" s="151"/>
      <c r="C511" s="152"/>
      <c r="H511" s="340"/>
      <c r="L511" s="131"/>
      <c r="M511" s="131"/>
      <c r="N511" s="131"/>
      <c r="O511" s="131"/>
      <c r="P511" s="131"/>
      <c r="Q511" s="131"/>
      <c r="R511" s="131"/>
      <c r="S511" s="131"/>
      <c r="T511" s="131"/>
      <c r="U511" s="131"/>
      <c r="V511" s="131"/>
      <c r="W511" s="131"/>
      <c r="X511" s="131"/>
      <c r="Y511" s="131"/>
      <c r="Z511" s="131"/>
      <c r="AA511" s="131"/>
      <c r="AB511" s="131"/>
      <c r="AC511" s="131"/>
    </row>
    <row r="512" spans="1:29" x14ac:dyDescent="0.2">
      <c r="B512" s="151"/>
      <c r="C512" s="152"/>
      <c r="H512" s="340"/>
      <c r="L512" s="131"/>
      <c r="M512" s="131"/>
      <c r="N512" s="131"/>
      <c r="O512" s="131"/>
      <c r="P512" s="131"/>
      <c r="Q512" s="131"/>
      <c r="R512" s="131"/>
      <c r="S512" s="131"/>
      <c r="T512" s="131"/>
      <c r="U512" s="131"/>
      <c r="V512" s="131"/>
      <c r="W512" s="131"/>
      <c r="X512" s="131"/>
      <c r="Y512" s="131"/>
      <c r="Z512" s="131"/>
      <c r="AA512" s="131"/>
      <c r="AB512" s="131"/>
      <c r="AC512" s="131"/>
    </row>
    <row r="513" spans="2:29" x14ac:dyDescent="0.2">
      <c r="B513" s="151"/>
      <c r="C513" s="152"/>
      <c r="H513" s="340"/>
      <c r="L513" s="131"/>
      <c r="M513" s="131"/>
      <c r="N513" s="131"/>
      <c r="O513" s="131"/>
      <c r="P513" s="131"/>
      <c r="Q513" s="131"/>
      <c r="R513" s="131"/>
      <c r="S513" s="131"/>
      <c r="T513" s="131"/>
      <c r="U513" s="131"/>
      <c r="V513" s="131"/>
      <c r="W513" s="131"/>
      <c r="X513" s="131"/>
      <c r="Y513" s="131"/>
      <c r="Z513" s="131"/>
      <c r="AA513" s="131"/>
      <c r="AB513" s="131"/>
      <c r="AC513" s="131"/>
    </row>
    <row r="514" spans="2:29" x14ac:dyDescent="0.2">
      <c r="B514" s="151"/>
      <c r="C514" s="152"/>
      <c r="H514" s="340"/>
      <c r="L514" s="131"/>
      <c r="M514" s="131"/>
      <c r="N514" s="131"/>
      <c r="O514" s="131"/>
      <c r="P514" s="131"/>
      <c r="Q514" s="131"/>
      <c r="R514" s="131"/>
      <c r="S514" s="131"/>
      <c r="T514" s="131"/>
      <c r="U514" s="131"/>
      <c r="V514" s="131"/>
      <c r="W514" s="131"/>
      <c r="X514" s="131"/>
      <c r="Y514" s="131"/>
      <c r="Z514" s="131"/>
      <c r="AA514" s="131"/>
      <c r="AB514" s="131"/>
      <c r="AC514" s="131"/>
    </row>
    <row r="515" spans="2:29" x14ac:dyDescent="0.2">
      <c r="B515" s="151"/>
      <c r="C515" s="152"/>
      <c r="H515" s="340"/>
      <c r="L515" s="131"/>
      <c r="M515" s="131"/>
      <c r="N515" s="131"/>
      <c r="O515" s="131"/>
      <c r="P515" s="131"/>
      <c r="Q515" s="131"/>
      <c r="R515" s="131"/>
      <c r="S515" s="131"/>
      <c r="T515" s="131"/>
      <c r="U515" s="131"/>
      <c r="V515" s="131"/>
      <c r="W515" s="131"/>
      <c r="X515" s="131"/>
      <c r="Y515" s="131"/>
      <c r="Z515" s="131"/>
      <c r="AA515" s="131"/>
      <c r="AB515" s="131"/>
      <c r="AC515" s="131"/>
    </row>
    <row r="516" spans="2:29" x14ac:dyDescent="0.2">
      <c r="B516" s="151"/>
      <c r="C516" s="152"/>
      <c r="H516" s="340"/>
      <c r="L516" s="131"/>
      <c r="M516" s="131"/>
      <c r="N516" s="131"/>
      <c r="O516" s="131"/>
      <c r="P516" s="131"/>
      <c r="Q516" s="131"/>
      <c r="R516" s="131"/>
      <c r="S516" s="131"/>
      <c r="T516" s="131"/>
      <c r="U516" s="131"/>
      <c r="V516" s="131"/>
      <c r="W516" s="131"/>
      <c r="X516" s="131"/>
      <c r="Y516" s="131"/>
      <c r="Z516" s="131"/>
      <c r="AA516" s="131"/>
      <c r="AB516" s="131"/>
      <c r="AC516" s="131"/>
    </row>
    <row r="517" spans="2:29" x14ac:dyDescent="0.2">
      <c r="B517" s="151"/>
      <c r="C517" s="152"/>
      <c r="H517" s="340"/>
      <c r="L517" s="131"/>
      <c r="M517" s="131"/>
      <c r="N517" s="131"/>
      <c r="O517" s="131"/>
      <c r="P517" s="131"/>
      <c r="Q517" s="131"/>
      <c r="R517" s="131"/>
      <c r="S517" s="131"/>
      <c r="T517" s="131"/>
      <c r="U517" s="131"/>
      <c r="V517" s="131"/>
      <c r="W517" s="131"/>
      <c r="X517" s="131"/>
      <c r="Y517" s="131"/>
      <c r="Z517" s="131"/>
      <c r="AA517" s="131"/>
      <c r="AB517" s="131"/>
      <c r="AC517" s="131"/>
    </row>
    <row r="518" spans="2:29" x14ac:dyDescent="0.2">
      <c r="B518" s="151"/>
      <c r="C518" s="152"/>
      <c r="H518" s="340"/>
      <c r="L518" s="131"/>
      <c r="M518" s="131"/>
      <c r="N518" s="131"/>
      <c r="O518" s="131"/>
      <c r="P518" s="131"/>
      <c r="Q518" s="131"/>
      <c r="R518" s="131"/>
      <c r="S518" s="131"/>
      <c r="T518" s="131"/>
      <c r="U518" s="131"/>
      <c r="V518" s="131"/>
      <c r="W518" s="131"/>
      <c r="X518" s="131"/>
      <c r="Y518" s="131"/>
      <c r="Z518" s="131"/>
      <c r="AA518" s="131"/>
      <c r="AB518" s="131"/>
      <c r="AC518" s="131"/>
    </row>
    <row r="519" spans="2:29" x14ac:dyDescent="0.2">
      <c r="B519" s="151"/>
      <c r="C519" s="152"/>
      <c r="H519" s="340"/>
      <c r="L519" s="131"/>
      <c r="M519" s="131"/>
      <c r="N519" s="131"/>
      <c r="O519" s="131"/>
      <c r="P519" s="131"/>
      <c r="Q519" s="131"/>
      <c r="R519" s="131"/>
      <c r="S519" s="131"/>
      <c r="T519" s="131"/>
      <c r="U519" s="131"/>
      <c r="V519" s="131"/>
      <c r="W519" s="131"/>
      <c r="X519" s="131"/>
      <c r="Y519" s="131"/>
      <c r="Z519" s="131"/>
      <c r="AA519" s="131"/>
      <c r="AB519" s="131"/>
      <c r="AC519" s="131"/>
    </row>
    <row r="520" spans="2:29" x14ac:dyDescent="0.2">
      <c r="B520" s="151"/>
      <c r="C520" s="152"/>
      <c r="H520" s="340"/>
      <c r="L520" s="131"/>
      <c r="M520" s="131"/>
      <c r="N520" s="131"/>
      <c r="O520" s="131"/>
      <c r="P520" s="131"/>
      <c r="Q520" s="131"/>
      <c r="R520" s="131"/>
      <c r="S520" s="131"/>
      <c r="T520" s="131"/>
      <c r="U520" s="131"/>
      <c r="V520" s="131"/>
      <c r="W520" s="131"/>
      <c r="X520" s="131"/>
      <c r="Y520" s="131"/>
      <c r="Z520" s="131"/>
      <c r="AA520" s="131"/>
      <c r="AB520" s="131"/>
      <c r="AC520" s="131"/>
    </row>
    <row r="521" spans="2:29" x14ac:dyDescent="0.2">
      <c r="B521" s="151"/>
      <c r="C521" s="152"/>
      <c r="H521" s="340"/>
      <c r="L521" s="131"/>
      <c r="M521" s="131"/>
      <c r="N521" s="131"/>
      <c r="O521" s="131"/>
      <c r="P521" s="131"/>
      <c r="Q521" s="131"/>
      <c r="R521" s="131"/>
      <c r="S521" s="131"/>
      <c r="T521" s="131"/>
      <c r="U521" s="131"/>
      <c r="V521" s="131"/>
      <c r="W521" s="131"/>
      <c r="X521" s="131"/>
      <c r="Y521" s="131"/>
      <c r="Z521" s="131"/>
      <c r="AA521" s="131"/>
      <c r="AB521" s="131"/>
      <c r="AC521" s="131"/>
    </row>
    <row r="522" spans="2:29" x14ac:dyDescent="0.2">
      <c r="B522" s="151"/>
      <c r="C522" s="152"/>
      <c r="H522" s="340"/>
      <c r="L522" s="131"/>
      <c r="M522" s="131"/>
      <c r="N522" s="131"/>
      <c r="O522" s="131"/>
      <c r="P522" s="131"/>
      <c r="Q522" s="131"/>
      <c r="R522" s="131"/>
      <c r="S522" s="131"/>
      <c r="T522" s="131"/>
      <c r="U522" s="131"/>
      <c r="V522" s="131"/>
      <c r="W522" s="131"/>
      <c r="X522" s="131"/>
      <c r="Y522" s="131"/>
      <c r="Z522" s="131"/>
      <c r="AA522" s="131"/>
      <c r="AB522" s="131"/>
      <c r="AC522" s="131"/>
    </row>
    <row r="523" spans="2:29" x14ac:dyDescent="0.2">
      <c r="B523" s="151"/>
      <c r="C523" s="152"/>
      <c r="H523" s="340"/>
      <c r="L523" s="131"/>
      <c r="M523" s="131"/>
      <c r="N523" s="131"/>
      <c r="O523" s="131"/>
      <c r="P523" s="131"/>
      <c r="Q523" s="131"/>
      <c r="R523" s="131"/>
      <c r="S523" s="131"/>
      <c r="T523" s="131"/>
      <c r="U523" s="131"/>
      <c r="V523" s="131"/>
      <c r="W523" s="131"/>
      <c r="X523" s="131"/>
      <c r="Y523" s="131"/>
      <c r="Z523" s="131"/>
      <c r="AA523" s="131"/>
      <c r="AB523" s="131"/>
      <c r="AC523" s="131"/>
    </row>
    <row r="524" spans="2:29" x14ac:dyDescent="0.2">
      <c r="B524" s="151"/>
      <c r="C524" s="152"/>
      <c r="H524" s="340"/>
      <c r="L524" s="131"/>
      <c r="M524" s="131"/>
      <c r="N524" s="131"/>
      <c r="O524" s="131"/>
      <c r="P524" s="131"/>
      <c r="Q524" s="131"/>
      <c r="R524" s="131"/>
      <c r="S524" s="131"/>
      <c r="T524" s="131"/>
      <c r="U524" s="131"/>
      <c r="V524" s="131"/>
      <c r="W524" s="131"/>
      <c r="X524" s="131"/>
      <c r="Y524" s="131"/>
      <c r="Z524" s="131"/>
      <c r="AA524" s="131"/>
      <c r="AB524" s="131"/>
      <c r="AC524" s="131"/>
    </row>
    <row r="525" spans="2:29" x14ac:dyDescent="0.2">
      <c r="B525" s="151"/>
      <c r="C525" s="152"/>
      <c r="H525" s="340"/>
      <c r="L525" s="131"/>
      <c r="M525" s="131"/>
      <c r="N525" s="131"/>
      <c r="O525" s="131"/>
      <c r="P525" s="131"/>
      <c r="Q525" s="131"/>
      <c r="R525" s="131"/>
      <c r="S525" s="131"/>
      <c r="T525" s="131"/>
      <c r="U525" s="131"/>
      <c r="V525" s="131"/>
      <c r="W525" s="131"/>
      <c r="X525" s="131"/>
      <c r="Y525" s="131"/>
      <c r="Z525" s="131"/>
      <c r="AA525" s="131"/>
      <c r="AB525" s="131"/>
      <c r="AC525" s="131"/>
    </row>
    <row r="526" spans="2:29" x14ac:dyDescent="0.2">
      <c r="B526" s="151"/>
      <c r="C526" s="152"/>
      <c r="H526" s="340"/>
      <c r="L526" s="131"/>
      <c r="M526" s="131"/>
      <c r="N526" s="131"/>
      <c r="O526" s="131"/>
      <c r="P526" s="131"/>
      <c r="Q526" s="131"/>
      <c r="R526" s="131"/>
      <c r="S526" s="131"/>
      <c r="T526" s="131"/>
      <c r="U526" s="131"/>
      <c r="V526" s="131"/>
      <c r="W526" s="131"/>
      <c r="X526" s="131"/>
      <c r="Y526" s="131"/>
      <c r="Z526" s="131"/>
      <c r="AA526" s="131"/>
      <c r="AB526" s="131"/>
      <c r="AC526" s="131"/>
    </row>
    <row r="527" spans="2:29" x14ac:dyDescent="0.2">
      <c r="B527" s="151"/>
      <c r="C527" s="152"/>
      <c r="H527" s="340"/>
      <c r="L527" s="131"/>
      <c r="M527" s="131"/>
      <c r="N527" s="131"/>
      <c r="O527" s="131"/>
      <c r="P527" s="131"/>
      <c r="Q527" s="131"/>
      <c r="R527" s="131"/>
      <c r="S527" s="131"/>
      <c r="T527" s="131"/>
      <c r="U527" s="131"/>
      <c r="V527" s="131"/>
      <c r="W527" s="131"/>
      <c r="X527" s="131"/>
      <c r="Y527" s="131"/>
      <c r="Z527" s="131"/>
      <c r="AA527" s="131"/>
      <c r="AB527" s="131"/>
      <c r="AC527" s="131"/>
    </row>
    <row r="528" spans="2:29" x14ac:dyDescent="0.2">
      <c r="B528" s="151"/>
      <c r="C528" s="152"/>
      <c r="H528" s="340"/>
      <c r="L528" s="131"/>
      <c r="M528" s="131"/>
      <c r="N528" s="131"/>
      <c r="O528" s="131"/>
      <c r="P528" s="131"/>
      <c r="Q528" s="131"/>
      <c r="R528" s="131"/>
      <c r="S528" s="131"/>
      <c r="T528" s="131"/>
      <c r="U528" s="131"/>
      <c r="V528" s="131"/>
      <c r="W528" s="131"/>
      <c r="X528" s="131"/>
      <c r="Y528" s="131"/>
      <c r="Z528" s="131"/>
      <c r="AA528" s="131"/>
      <c r="AB528" s="131"/>
      <c r="AC528" s="131"/>
    </row>
    <row r="529" spans="2:29" x14ac:dyDescent="0.2">
      <c r="B529" s="151"/>
      <c r="C529" s="152"/>
      <c r="H529" s="340"/>
      <c r="L529" s="131"/>
      <c r="M529" s="131"/>
      <c r="N529" s="131"/>
      <c r="O529" s="131"/>
      <c r="P529" s="131"/>
      <c r="Q529" s="131"/>
      <c r="R529" s="131"/>
      <c r="S529" s="131"/>
      <c r="T529" s="131"/>
      <c r="U529" s="131"/>
      <c r="V529" s="131"/>
      <c r="W529" s="131"/>
      <c r="X529" s="131"/>
      <c r="Y529" s="131"/>
      <c r="Z529" s="131"/>
      <c r="AA529" s="131"/>
      <c r="AB529" s="131"/>
      <c r="AC529" s="131"/>
    </row>
    <row r="530" spans="2:29" x14ac:dyDescent="0.2">
      <c r="B530" s="151"/>
      <c r="C530" s="152"/>
      <c r="H530" s="340"/>
      <c r="L530" s="131"/>
      <c r="M530" s="131"/>
      <c r="N530" s="131"/>
      <c r="O530" s="131"/>
      <c r="P530" s="131"/>
      <c r="Q530" s="131"/>
      <c r="R530" s="131"/>
      <c r="S530" s="131"/>
      <c r="T530" s="131"/>
      <c r="U530" s="131"/>
      <c r="V530" s="131"/>
      <c r="W530" s="131"/>
      <c r="X530" s="131"/>
      <c r="Y530" s="131"/>
      <c r="Z530" s="131"/>
      <c r="AA530" s="131"/>
      <c r="AB530" s="131"/>
      <c r="AC530" s="131"/>
    </row>
    <row r="531" spans="2:29" x14ac:dyDescent="0.2">
      <c r="B531" s="151"/>
      <c r="C531" s="152"/>
      <c r="H531" s="340"/>
      <c r="L531" s="131"/>
      <c r="M531" s="131"/>
      <c r="N531" s="131"/>
      <c r="O531" s="131"/>
      <c r="P531" s="131"/>
      <c r="Q531" s="131"/>
      <c r="R531" s="131"/>
      <c r="S531" s="131"/>
      <c r="T531" s="131"/>
      <c r="U531" s="131"/>
      <c r="V531" s="131"/>
      <c r="W531" s="131"/>
      <c r="X531" s="131"/>
      <c r="Y531" s="131"/>
      <c r="Z531" s="131"/>
      <c r="AA531" s="131"/>
      <c r="AB531" s="131"/>
      <c r="AC531" s="131"/>
    </row>
    <row r="532" spans="2:29" x14ac:dyDescent="0.2">
      <c r="B532" s="151"/>
      <c r="C532" s="152"/>
      <c r="H532" s="340"/>
      <c r="L532" s="131"/>
      <c r="M532" s="131"/>
      <c r="N532" s="131"/>
      <c r="O532" s="131"/>
      <c r="P532" s="131"/>
      <c r="Q532" s="131"/>
      <c r="R532" s="131"/>
      <c r="S532" s="131"/>
      <c r="T532" s="131"/>
      <c r="U532" s="131"/>
      <c r="V532" s="131"/>
      <c r="W532" s="131"/>
      <c r="X532" s="131"/>
      <c r="Y532" s="131"/>
      <c r="Z532" s="131"/>
      <c r="AA532" s="131"/>
      <c r="AB532" s="131"/>
      <c r="AC532" s="131"/>
    </row>
    <row r="533" spans="2:29" x14ac:dyDescent="0.2">
      <c r="B533" s="151"/>
      <c r="C533" s="152"/>
      <c r="H533" s="340"/>
      <c r="L533" s="131"/>
      <c r="M533" s="131"/>
      <c r="N533" s="131"/>
      <c r="O533" s="131"/>
      <c r="P533" s="131"/>
      <c r="Q533" s="131"/>
      <c r="R533" s="131"/>
      <c r="S533" s="131"/>
      <c r="T533" s="131"/>
      <c r="U533" s="131"/>
      <c r="V533" s="131"/>
      <c r="W533" s="131"/>
      <c r="X533" s="131"/>
      <c r="Y533" s="131"/>
      <c r="Z533" s="131"/>
      <c r="AA533" s="131"/>
      <c r="AB533" s="131"/>
      <c r="AC533" s="131"/>
    </row>
    <row r="534" spans="2:29" x14ac:dyDescent="0.2">
      <c r="B534" s="151"/>
      <c r="C534" s="152"/>
      <c r="H534" s="340"/>
      <c r="L534" s="131"/>
      <c r="M534" s="131"/>
      <c r="N534" s="131"/>
      <c r="O534" s="131"/>
      <c r="P534" s="131"/>
      <c r="Q534" s="131"/>
      <c r="R534" s="131"/>
      <c r="S534" s="131"/>
      <c r="T534" s="131"/>
      <c r="U534" s="131"/>
      <c r="V534" s="131"/>
      <c r="W534" s="131"/>
      <c r="X534" s="131"/>
      <c r="Y534" s="131"/>
      <c r="Z534" s="131"/>
      <c r="AA534" s="131"/>
      <c r="AB534" s="131"/>
      <c r="AC534" s="131"/>
    </row>
    <row r="535" spans="2:29" x14ac:dyDescent="0.2">
      <c r="B535" s="151"/>
      <c r="C535" s="152"/>
      <c r="H535" s="340"/>
      <c r="L535" s="131"/>
      <c r="M535" s="131"/>
      <c r="N535" s="131"/>
      <c r="O535" s="131"/>
      <c r="P535" s="131"/>
      <c r="Q535" s="131"/>
      <c r="R535" s="131"/>
      <c r="S535" s="131"/>
      <c r="T535" s="131"/>
      <c r="U535" s="131"/>
      <c r="V535" s="131"/>
      <c r="W535" s="131"/>
      <c r="X535" s="131"/>
      <c r="Y535" s="131"/>
      <c r="Z535" s="131"/>
      <c r="AA535" s="131"/>
      <c r="AB535" s="131"/>
      <c r="AC535" s="131"/>
    </row>
    <row r="536" spans="2:29" x14ac:dyDescent="0.2">
      <c r="B536" s="151"/>
      <c r="C536" s="152"/>
      <c r="H536" s="340"/>
      <c r="L536" s="131"/>
      <c r="M536" s="131"/>
      <c r="N536" s="131"/>
      <c r="O536" s="131"/>
      <c r="P536" s="131"/>
      <c r="Q536" s="131"/>
      <c r="R536" s="131"/>
      <c r="S536" s="131"/>
      <c r="T536" s="131"/>
      <c r="U536" s="131"/>
      <c r="V536" s="131"/>
      <c r="W536" s="131"/>
      <c r="X536" s="131"/>
      <c r="Y536" s="131"/>
      <c r="Z536" s="131"/>
      <c r="AA536" s="131"/>
      <c r="AB536" s="131"/>
      <c r="AC536" s="131"/>
    </row>
    <row r="537" spans="2:29" x14ac:dyDescent="0.2">
      <c r="B537" s="151"/>
      <c r="C537" s="152"/>
      <c r="H537" s="340"/>
      <c r="L537" s="131"/>
      <c r="M537" s="131"/>
      <c r="N537" s="131"/>
      <c r="O537" s="131"/>
      <c r="P537" s="131"/>
      <c r="Q537" s="131"/>
      <c r="R537" s="131"/>
      <c r="S537" s="131"/>
      <c r="T537" s="131"/>
      <c r="U537" s="131"/>
      <c r="V537" s="131"/>
      <c r="W537" s="131"/>
      <c r="X537" s="131"/>
      <c r="Y537" s="131"/>
      <c r="Z537" s="131"/>
      <c r="AA537" s="131"/>
      <c r="AB537" s="131"/>
      <c r="AC537" s="131"/>
    </row>
    <row r="538" spans="2:29" x14ac:dyDescent="0.2">
      <c r="B538" s="151"/>
      <c r="C538" s="152"/>
      <c r="H538" s="340"/>
      <c r="L538" s="131"/>
      <c r="M538" s="131"/>
      <c r="N538" s="131"/>
      <c r="O538" s="131"/>
      <c r="P538" s="131"/>
      <c r="Q538" s="131"/>
      <c r="R538" s="131"/>
      <c r="S538" s="131"/>
      <c r="T538" s="131"/>
      <c r="U538" s="131"/>
      <c r="V538" s="131"/>
      <c r="W538" s="131"/>
      <c r="X538" s="131"/>
      <c r="Y538" s="131"/>
      <c r="Z538" s="131"/>
      <c r="AA538" s="131"/>
      <c r="AB538" s="131"/>
      <c r="AC538" s="131"/>
    </row>
    <row r="539" spans="2:29" x14ac:dyDescent="0.2">
      <c r="B539" s="151"/>
      <c r="C539" s="152"/>
      <c r="H539" s="340"/>
      <c r="L539" s="131"/>
      <c r="M539" s="131"/>
      <c r="N539" s="131"/>
      <c r="O539" s="131"/>
      <c r="P539" s="131"/>
      <c r="Q539" s="131"/>
      <c r="R539" s="131"/>
      <c r="S539" s="131"/>
      <c r="T539" s="131"/>
      <c r="U539" s="131"/>
      <c r="V539" s="131"/>
      <c r="W539" s="131"/>
      <c r="X539" s="131"/>
      <c r="Y539" s="131"/>
      <c r="Z539" s="131"/>
      <c r="AA539" s="131"/>
      <c r="AB539" s="131"/>
      <c r="AC539" s="131"/>
    </row>
    <row r="540" spans="2:29" x14ac:dyDescent="0.2">
      <c r="B540" s="151"/>
      <c r="C540" s="152"/>
      <c r="H540" s="340"/>
      <c r="L540" s="131"/>
      <c r="M540" s="131"/>
      <c r="N540" s="131"/>
      <c r="O540" s="131"/>
      <c r="P540" s="131"/>
      <c r="Q540" s="131"/>
      <c r="R540" s="131"/>
      <c r="S540" s="131"/>
      <c r="T540" s="131"/>
      <c r="U540" s="131"/>
      <c r="V540" s="131"/>
      <c r="W540" s="131"/>
      <c r="X540" s="131"/>
      <c r="Y540" s="131"/>
      <c r="Z540" s="131"/>
      <c r="AA540" s="131"/>
      <c r="AB540" s="131"/>
      <c r="AC540" s="131"/>
    </row>
    <row r="541" spans="2:29" x14ac:dyDescent="0.2">
      <c r="B541" s="151"/>
      <c r="C541" s="152"/>
      <c r="H541" s="340"/>
      <c r="L541" s="131"/>
      <c r="M541" s="131"/>
      <c r="N541" s="131"/>
      <c r="O541" s="131"/>
      <c r="P541" s="131"/>
      <c r="Q541" s="131"/>
      <c r="R541" s="131"/>
      <c r="S541" s="131"/>
      <c r="T541" s="131"/>
      <c r="U541" s="131"/>
      <c r="V541" s="131"/>
      <c r="W541" s="131"/>
      <c r="X541" s="131"/>
      <c r="Y541" s="131"/>
      <c r="Z541" s="131"/>
      <c r="AA541" s="131"/>
      <c r="AB541" s="131"/>
      <c r="AC541" s="131"/>
    </row>
    <row r="542" spans="2:29" x14ac:dyDescent="0.2">
      <c r="B542" s="151"/>
      <c r="C542" s="152"/>
      <c r="H542" s="340"/>
      <c r="L542" s="131"/>
      <c r="M542" s="131"/>
      <c r="N542" s="131"/>
      <c r="O542" s="131"/>
      <c r="P542" s="131"/>
      <c r="Q542" s="131"/>
      <c r="R542" s="131"/>
      <c r="S542" s="131"/>
      <c r="T542" s="131"/>
      <c r="U542" s="131"/>
      <c r="V542" s="131"/>
      <c r="W542" s="131"/>
      <c r="X542" s="131"/>
      <c r="Y542" s="131"/>
      <c r="Z542" s="131"/>
      <c r="AA542" s="131"/>
      <c r="AB542" s="131"/>
      <c r="AC542" s="131"/>
    </row>
    <row r="543" spans="2:29" x14ac:dyDescent="0.2">
      <c r="B543" s="151"/>
      <c r="C543" s="152"/>
      <c r="H543" s="340"/>
      <c r="L543" s="131"/>
      <c r="M543" s="131"/>
      <c r="N543" s="131"/>
      <c r="O543" s="131"/>
      <c r="P543" s="131"/>
      <c r="Q543" s="131"/>
      <c r="R543" s="131"/>
      <c r="S543" s="131"/>
      <c r="T543" s="131"/>
      <c r="U543" s="131"/>
      <c r="V543" s="131"/>
      <c r="W543" s="131"/>
      <c r="X543" s="131"/>
      <c r="Y543" s="131"/>
      <c r="Z543" s="131"/>
      <c r="AA543" s="131"/>
      <c r="AB543" s="131"/>
      <c r="AC543" s="131"/>
    </row>
    <row r="544" spans="2:29" x14ac:dyDescent="0.2">
      <c r="B544" s="151"/>
      <c r="C544" s="152"/>
      <c r="H544" s="340"/>
      <c r="L544" s="131"/>
      <c r="M544" s="131"/>
      <c r="N544" s="131"/>
      <c r="O544" s="131"/>
      <c r="P544" s="131"/>
      <c r="Q544" s="131"/>
      <c r="R544" s="131"/>
      <c r="S544" s="131"/>
      <c r="T544" s="131"/>
      <c r="U544" s="131"/>
      <c r="V544" s="131"/>
      <c r="W544" s="131"/>
      <c r="X544" s="131"/>
      <c r="Y544" s="131"/>
      <c r="Z544" s="131"/>
      <c r="AA544" s="131"/>
      <c r="AB544" s="131"/>
      <c r="AC544" s="131"/>
    </row>
    <row r="545" spans="2:29" x14ac:dyDescent="0.2">
      <c r="B545" s="151"/>
      <c r="C545" s="152"/>
      <c r="H545" s="340"/>
      <c r="L545" s="131"/>
      <c r="M545" s="131"/>
      <c r="N545" s="131"/>
      <c r="O545" s="131"/>
      <c r="P545" s="131"/>
      <c r="Q545" s="131"/>
      <c r="R545" s="131"/>
      <c r="S545" s="131"/>
      <c r="T545" s="131"/>
      <c r="U545" s="131"/>
      <c r="V545" s="131"/>
      <c r="W545" s="131"/>
      <c r="X545" s="131"/>
      <c r="Y545" s="131"/>
      <c r="Z545" s="131"/>
      <c r="AA545" s="131"/>
      <c r="AB545" s="131"/>
      <c r="AC545" s="131"/>
    </row>
    <row r="546" spans="2:29" x14ac:dyDescent="0.2">
      <c r="B546" s="151"/>
      <c r="C546" s="152"/>
      <c r="H546" s="340"/>
      <c r="L546" s="131"/>
      <c r="M546" s="131"/>
      <c r="N546" s="131"/>
      <c r="O546" s="131"/>
      <c r="P546" s="131"/>
      <c r="Q546" s="131"/>
      <c r="R546" s="131"/>
      <c r="S546" s="131"/>
      <c r="T546" s="131"/>
      <c r="U546" s="131"/>
      <c r="V546" s="131"/>
      <c r="W546" s="131"/>
      <c r="X546" s="131"/>
      <c r="Y546" s="131"/>
      <c r="Z546" s="131"/>
      <c r="AA546" s="131"/>
      <c r="AB546" s="131"/>
      <c r="AC546" s="131"/>
    </row>
    <row r="547" spans="2:29" x14ac:dyDescent="0.2">
      <c r="B547" s="151"/>
      <c r="C547" s="152"/>
      <c r="H547" s="340"/>
      <c r="L547" s="131"/>
      <c r="M547" s="131"/>
      <c r="N547" s="131"/>
      <c r="O547" s="131"/>
      <c r="P547" s="131"/>
      <c r="Q547" s="131"/>
      <c r="R547" s="131"/>
      <c r="S547" s="131"/>
      <c r="T547" s="131"/>
      <c r="U547" s="131"/>
      <c r="V547" s="131"/>
      <c r="W547" s="131"/>
      <c r="X547" s="131"/>
      <c r="Y547" s="131"/>
      <c r="Z547" s="131"/>
      <c r="AA547" s="131"/>
      <c r="AB547" s="131"/>
      <c r="AC547" s="131"/>
    </row>
    <row r="548" spans="2:29" x14ac:dyDescent="0.2">
      <c r="B548" s="151"/>
      <c r="C548" s="152"/>
      <c r="H548" s="340"/>
      <c r="L548" s="131"/>
      <c r="M548" s="131"/>
      <c r="N548" s="131"/>
      <c r="O548" s="131"/>
      <c r="P548" s="131"/>
      <c r="Q548" s="131"/>
      <c r="R548" s="131"/>
      <c r="S548" s="131"/>
      <c r="T548" s="131"/>
      <c r="U548" s="131"/>
      <c r="V548" s="131"/>
      <c r="W548" s="131"/>
      <c r="X548" s="131"/>
      <c r="Y548" s="131"/>
      <c r="Z548" s="131"/>
      <c r="AA548" s="131"/>
      <c r="AB548" s="131"/>
      <c r="AC548" s="131"/>
    </row>
    <row r="549" spans="2:29" x14ac:dyDescent="0.2">
      <c r="B549" s="151"/>
      <c r="C549" s="152"/>
      <c r="H549" s="340"/>
      <c r="L549" s="131"/>
      <c r="M549" s="131"/>
      <c r="N549" s="131"/>
      <c r="O549" s="131"/>
      <c r="P549" s="131"/>
      <c r="Q549" s="131"/>
      <c r="R549" s="131"/>
      <c r="S549" s="131"/>
      <c r="T549" s="131"/>
      <c r="U549" s="131"/>
      <c r="V549" s="131"/>
      <c r="W549" s="131"/>
      <c r="X549" s="131"/>
      <c r="Y549" s="131"/>
      <c r="Z549" s="131"/>
      <c r="AA549" s="131"/>
      <c r="AB549" s="131"/>
      <c r="AC549" s="131"/>
    </row>
    <row r="550" spans="2:29" x14ac:dyDescent="0.2">
      <c r="B550" s="151"/>
      <c r="C550" s="152"/>
      <c r="H550" s="340"/>
      <c r="L550" s="131"/>
      <c r="M550" s="131"/>
      <c r="N550" s="131"/>
      <c r="O550" s="131"/>
      <c r="P550" s="131"/>
      <c r="Q550" s="131"/>
      <c r="R550" s="131"/>
      <c r="S550" s="131"/>
      <c r="T550" s="131"/>
      <c r="U550" s="131"/>
      <c r="V550" s="131"/>
      <c r="W550" s="131"/>
      <c r="X550" s="131"/>
      <c r="Y550" s="131"/>
      <c r="Z550" s="131"/>
      <c r="AA550" s="131"/>
      <c r="AB550" s="131"/>
      <c r="AC550" s="131"/>
    </row>
    <row r="551" spans="2:29" x14ac:dyDescent="0.2">
      <c r="B551" s="151"/>
      <c r="C551" s="152"/>
      <c r="H551" s="340"/>
      <c r="L551" s="131"/>
      <c r="M551" s="131"/>
      <c r="N551" s="131"/>
      <c r="O551" s="131"/>
      <c r="P551" s="131"/>
      <c r="Q551" s="131"/>
      <c r="R551" s="131"/>
      <c r="S551" s="131"/>
      <c r="T551" s="131"/>
      <c r="U551" s="131"/>
      <c r="V551" s="131"/>
      <c r="W551" s="131"/>
      <c r="X551" s="131"/>
      <c r="Y551" s="131"/>
      <c r="Z551" s="131"/>
      <c r="AA551" s="131"/>
      <c r="AB551" s="131"/>
      <c r="AC551" s="131"/>
    </row>
    <row r="552" spans="2:29" x14ac:dyDescent="0.2">
      <c r="B552" s="151"/>
      <c r="C552" s="152"/>
      <c r="H552" s="340"/>
      <c r="L552" s="131"/>
      <c r="M552" s="131"/>
      <c r="N552" s="131"/>
      <c r="O552" s="131"/>
      <c r="P552" s="131"/>
      <c r="Q552" s="131"/>
      <c r="R552" s="131"/>
      <c r="S552" s="131"/>
      <c r="T552" s="131"/>
      <c r="U552" s="131"/>
      <c r="V552" s="131"/>
      <c r="W552" s="131"/>
      <c r="X552" s="131"/>
      <c r="Y552" s="131"/>
      <c r="Z552" s="131"/>
      <c r="AA552" s="131"/>
      <c r="AB552" s="131"/>
      <c r="AC552" s="131"/>
    </row>
    <row r="553" spans="2:29" x14ac:dyDescent="0.2">
      <c r="B553" s="151"/>
      <c r="C553" s="152"/>
      <c r="H553" s="340"/>
      <c r="L553" s="131"/>
      <c r="M553" s="131"/>
      <c r="N553" s="131"/>
      <c r="O553" s="131"/>
      <c r="P553" s="131"/>
      <c r="Q553" s="131"/>
      <c r="R553" s="131"/>
      <c r="S553" s="131"/>
      <c r="T553" s="131"/>
      <c r="U553" s="131"/>
      <c r="V553" s="131"/>
      <c r="W553" s="131"/>
      <c r="X553" s="131"/>
      <c r="Y553" s="131"/>
      <c r="Z553" s="131"/>
      <c r="AA553" s="131"/>
      <c r="AB553" s="131"/>
      <c r="AC553" s="131"/>
    </row>
    <row r="554" spans="2:29" x14ac:dyDescent="0.2">
      <c r="B554" s="151"/>
      <c r="C554" s="152"/>
      <c r="H554" s="340"/>
      <c r="L554" s="131"/>
      <c r="M554" s="131"/>
      <c r="N554" s="131"/>
      <c r="O554" s="131"/>
      <c r="P554" s="131"/>
      <c r="Q554" s="131"/>
      <c r="R554" s="131"/>
      <c r="S554" s="131"/>
      <c r="T554" s="131"/>
      <c r="U554" s="131"/>
      <c r="V554" s="131"/>
      <c r="W554" s="131"/>
      <c r="X554" s="131"/>
      <c r="Y554" s="131"/>
      <c r="Z554" s="131"/>
      <c r="AA554" s="131"/>
      <c r="AB554" s="131"/>
      <c r="AC554" s="131"/>
    </row>
    <row r="555" spans="2:29" x14ac:dyDescent="0.2">
      <c r="B555" s="151"/>
      <c r="C555" s="152"/>
      <c r="H555" s="340"/>
      <c r="L555" s="131"/>
      <c r="M555" s="131"/>
      <c r="N555" s="131"/>
      <c r="O555" s="131"/>
      <c r="P555" s="131"/>
      <c r="Q555" s="131"/>
      <c r="R555" s="131"/>
      <c r="S555" s="131"/>
      <c r="T555" s="131"/>
      <c r="U555" s="131"/>
      <c r="V555" s="131"/>
      <c r="W555" s="131"/>
      <c r="X555" s="131"/>
      <c r="Y555" s="131"/>
      <c r="Z555" s="131"/>
      <c r="AA555" s="131"/>
      <c r="AB555" s="131"/>
      <c r="AC555" s="131"/>
    </row>
    <row r="556" spans="2:29" x14ac:dyDescent="0.2">
      <c r="B556" s="151"/>
      <c r="C556" s="152"/>
      <c r="H556" s="340"/>
      <c r="L556" s="131"/>
      <c r="M556" s="131"/>
      <c r="N556" s="131"/>
      <c r="O556" s="131"/>
      <c r="P556" s="131"/>
      <c r="Q556" s="131"/>
      <c r="R556" s="131"/>
      <c r="S556" s="131"/>
      <c r="T556" s="131"/>
      <c r="U556" s="131"/>
      <c r="V556" s="131"/>
      <c r="W556" s="131"/>
      <c r="X556" s="131"/>
      <c r="Y556" s="131"/>
      <c r="Z556" s="131"/>
      <c r="AA556" s="131"/>
      <c r="AB556" s="131"/>
      <c r="AC556" s="131"/>
    </row>
    <row r="557" spans="2:29" x14ac:dyDescent="0.2">
      <c r="B557" s="151"/>
      <c r="C557" s="152"/>
      <c r="H557" s="340"/>
      <c r="L557" s="131"/>
      <c r="M557" s="131"/>
      <c r="N557" s="131"/>
      <c r="O557" s="131"/>
      <c r="P557" s="131"/>
      <c r="Q557" s="131"/>
      <c r="R557" s="131"/>
      <c r="S557" s="131"/>
      <c r="T557" s="131"/>
      <c r="U557" s="131"/>
      <c r="V557" s="131"/>
      <c r="W557" s="131"/>
      <c r="X557" s="131"/>
      <c r="Y557" s="131"/>
      <c r="Z557" s="131"/>
      <c r="AA557" s="131"/>
      <c r="AB557" s="131"/>
      <c r="AC557" s="131"/>
    </row>
    <row r="558" spans="2:29" x14ac:dyDescent="0.2">
      <c r="B558" s="151"/>
      <c r="C558" s="152"/>
      <c r="H558" s="340"/>
      <c r="L558" s="131"/>
      <c r="M558" s="131"/>
      <c r="N558" s="131"/>
      <c r="O558" s="131"/>
      <c r="P558" s="131"/>
      <c r="Q558" s="131"/>
      <c r="R558" s="131"/>
      <c r="S558" s="131"/>
      <c r="T558" s="131"/>
      <c r="U558" s="131"/>
      <c r="V558" s="131"/>
      <c r="W558" s="131"/>
      <c r="X558" s="131"/>
      <c r="Y558" s="131"/>
      <c r="Z558" s="131"/>
      <c r="AA558" s="131"/>
      <c r="AB558" s="131"/>
      <c r="AC558" s="131"/>
    </row>
    <row r="559" spans="2:29" x14ac:dyDescent="0.2">
      <c r="B559" s="151"/>
      <c r="C559" s="152"/>
      <c r="H559" s="340"/>
      <c r="L559" s="131"/>
      <c r="M559" s="131"/>
      <c r="N559" s="131"/>
      <c r="O559" s="131"/>
      <c r="P559" s="131"/>
      <c r="Q559" s="131"/>
      <c r="R559" s="131"/>
      <c r="S559" s="131"/>
      <c r="T559" s="131"/>
      <c r="U559" s="131"/>
      <c r="V559" s="131"/>
      <c r="W559" s="131"/>
      <c r="X559" s="131"/>
      <c r="Y559" s="131"/>
      <c r="Z559" s="131"/>
      <c r="AA559" s="131"/>
      <c r="AB559" s="131"/>
      <c r="AC559" s="131"/>
    </row>
    <row r="560" spans="2:29" x14ac:dyDescent="0.2">
      <c r="B560" s="151"/>
      <c r="C560" s="152"/>
      <c r="H560" s="340"/>
      <c r="L560" s="131"/>
      <c r="M560" s="131"/>
      <c r="N560" s="131"/>
      <c r="O560" s="131"/>
      <c r="P560" s="131"/>
      <c r="Q560" s="131"/>
      <c r="R560" s="131"/>
      <c r="S560" s="131"/>
      <c r="T560" s="131"/>
      <c r="U560" s="131"/>
      <c r="V560" s="131"/>
      <c r="W560" s="131"/>
      <c r="X560" s="131"/>
      <c r="Y560" s="131"/>
      <c r="Z560" s="131"/>
      <c r="AA560" s="131"/>
      <c r="AB560" s="131"/>
      <c r="AC560" s="131"/>
    </row>
    <row r="561" spans="2:29" x14ac:dyDescent="0.2">
      <c r="B561" s="151"/>
      <c r="C561" s="152"/>
      <c r="H561" s="340"/>
      <c r="L561" s="131"/>
      <c r="M561" s="131"/>
      <c r="N561" s="131"/>
      <c r="O561" s="131"/>
      <c r="P561" s="131"/>
      <c r="Q561" s="131"/>
      <c r="R561" s="131"/>
      <c r="S561" s="131"/>
      <c r="T561" s="131"/>
      <c r="U561" s="131"/>
      <c r="V561" s="131"/>
      <c r="W561" s="131"/>
      <c r="X561" s="131"/>
      <c r="Y561" s="131"/>
      <c r="Z561" s="131"/>
      <c r="AA561" s="131"/>
      <c r="AB561" s="131"/>
      <c r="AC561" s="131"/>
    </row>
    <row r="562" spans="2:29" x14ac:dyDescent="0.2">
      <c r="B562" s="151"/>
      <c r="C562" s="152"/>
      <c r="H562" s="340"/>
      <c r="L562" s="131"/>
      <c r="M562" s="131"/>
      <c r="N562" s="131"/>
      <c r="O562" s="131"/>
      <c r="P562" s="131"/>
      <c r="Q562" s="131"/>
      <c r="R562" s="131"/>
      <c r="S562" s="131"/>
      <c r="T562" s="131"/>
      <c r="U562" s="131"/>
      <c r="V562" s="131"/>
      <c r="W562" s="131"/>
      <c r="X562" s="131"/>
      <c r="Y562" s="131"/>
      <c r="Z562" s="131"/>
      <c r="AA562" s="131"/>
      <c r="AB562" s="131"/>
      <c r="AC562" s="131"/>
    </row>
    <row r="563" spans="2:29" x14ac:dyDescent="0.2">
      <c r="B563" s="151"/>
      <c r="C563" s="152"/>
      <c r="H563" s="340"/>
      <c r="L563" s="131"/>
      <c r="M563" s="131"/>
      <c r="N563" s="131"/>
      <c r="O563" s="131"/>
      <c r="P563" s="131"/>
      <c r="Q563" s="131"/>
      <c r="R563" s="131"/>
      <c r="S563" s="131"/>
      <c r="T563" s="131"/>
      <c r="U563" s="131"/>
      <c r="V563" s="131"/>
      <c r="W563" s="131"/>
      <c r="X563" s="131"/>
      <c r="Y563" s="131"/>
      <c r="Z563" s="131"/>
      <c r="AA563" s="131"/>
      <c r="AB563" s="131"/>
      <c r="AC563" s="131"/>
    </row>
    <row r="564" spans="2:29" x14ac:dyDescent="0.2">
      <c r="B564" s="151"/>
      <c r="C564" s="152"/>
      <c r="H564" s="340"/>
      <c r="L564" s="131"/>
      <c r="M564" s="131"/>
      <c r="N564" s="131"/>
      <c r="O564" s="131"/>
      <c r="P564" s="131"/>
      <c r="Q564" s="131"/>
      <c r="R564" s="131"/>
      <c r="S564" s="131"/>
      <c r="T564" s="131"/>
      <c r="U564" s="131"/>
      <c r="V564" s="131"/>
      <c r="W564" s="131"/>
      <c r="X564" s="131"/>
      <c r="Y564" s="131"/>
      <c r="Z564" s="131"/>
      <c r="AA564" s="131"/>
      <c r="AB564" s="131"/>
      <c r="AC564" s="131"/>
    </row>
    <row r="565" spans="2:29" x14ac:dyDescent="0.2">
      <c r="B565" s="151"/>
      <c r="C565" s="152"/>
      <c r="H565" s="340"/>
      <c r="L565" s="131"/>
      <c r="M565" s="131"/>
      <c r="N565" s="131"/>
      <c r="O565" s="131"/>
      <c r="P565" s="131"/>
      <c r="Q565" s="131"/>
      <c r="R565" s="131"/>
      <c r="S565" s="131"/>
      <c r="T565" s="131"/>
      <c r="U565" s="131"/>
      <c r="V565" s="131"/>
      <c r="W565" s="131"/>
      <c r="X565" s="131"/>
      <c r="Y565" s="131"/>
      <c r="Z565" s="131"/>
      <c r="AA565" s="131"/>
      <c r="AB565" s="131"/>
      <c r="AC565" s="131"/>
    </row>
    <row r="566" spans="2:29" x14ac:dyDescent="0.2">
      <c r="B566" s="151"/>
      <c r="C566" s="152"/>
      <c r="H566" s="340"/>
      <c r="L566" s="131"/>
      <c r="M566" s="131"/>
      <c r="N566" s="131"/>
      <c r="O566" s="131"/>
      <c r="P566" s="131"/>
      <c r="Q566" s="131"/>
      <c r="R566" s="131"/>
      <c r="S566" s="131"/>
      <c r="T566" s="131"/>
      <c r="U566" s="131"/>
      <c r="V566" s="131"/>
      <c r="W566" s="131"/>
      <c r="X566" s="131"/>
      <c r="Y566" s="131"/>
      <c r="Z566" s="131"/>
      <c r="AA566" s="131"/>
      <c r="AB566" s="131"/>
      <c r="AC566" s="131"/>
    </row>
    <row r="567" spans="2:29" x14ac:dyDescent="0.2">
      <c r="B567" s="151"/>
      <c r="C567" s="152"/>
      <c r="H567" s="340"/>
      <c r="L567" s="131"/>
      <c r="M567" s="131"/>
      <c r="N567" s="131"/>
      <c r="O567" s="131"/>
      <c r="P567" s="131"/>
      <c r="Q567" s="131"/>
      <c r="R567" s="131"/>
      <c r="S567" s="131"/>
      <c r="T567" s="131"/>
      <c r="U567" s="131"/>
      <c r="V567" s="131"/>
      <c r="W567" s="131"/>
      <c r="X567" s="131"/>
      <c r="Y567" s="131"/>
      <c r="Z567" s="131"/>
      <c r="AA567" s="131"/>
      <c r="AB567" s="131"/>
      <c r="AC567" s="131"/>
    </row>
    <row r="568" spans="2:29" x14ac:dyDescent="0.2">
      <c r="B568" s="151"/>
      <c r="C568" s="152"/>
      <c r="H568" s="340"/>
      <c r="L568" s="131"/>
      <c r="M568" s="131"/>
      <c r="N568" s="131"/>
      <c r="O568" s="131"/>
      <c r="P568" s="131"/>
      <c r="Q568" s="131"/>
      <c r="R568" s="131"/>
      <c r="S568" s="131"/>
      <c r="T568" s="131"/>
      <c r="U568" s="131"/>
      <c r="V568" s="131"/>
      <c r="W568" s="131"/>
      <c r="X568" s="131"/>
      <c r="Y568" s="131"/>
      <c r="Z568" s="131"/>
      <c r="AA568" s="131"/>
      <c r="AB568" s="131"/>
      <c r="AC568" s="131"/>
    </row>
    <row r="569" spans="2:29" x14ac:dyDescent="0.2">
      <c r="B569" s="151"/>
      <c r="C569" s="152"/>
      <c r="H569" s="340"/>
      <c r="L569" s="131"/>
      <c r="M569" s="131"/>
      <c r="N569" s="131"/>
      <c r="O569" s="131"/>
      <c r="P569" s="131"/>
      <c r="Q569" s="131"/>
      <c r="R569" s="131"/>
      <c r="S569" s="131"/>
      <c r="T569" s="131"/>
      <c r="U569" s="131"/>
      <c r="V569" s="131"/>
      <c r="W569" s="131"/>
      <c r="X569" s="131"/>
      <c r="Y569" s="131"/>
      <c r="Z569" s="131"/>
      <c r="AA569" s="131"/>
      <c r="AB569" s="131"/>
      <c r="AC569" s="131"/>
    </row>
    <row r="570" spans="2:29" x14ac:dyDescent="0.2">
      <c r="B570" s="151"/>
      <c r="C570" s="152"/>
      <c r="H570" s="340"/>
      <c r="L570" s="131"/>
      <c r="M570" s="131"/>
      <c r="N570" s="131"/>
      <c r="O570" s="131"/>
      <c r="P570" s="131"/>
      <c r="Q570" s="131"/>
      <c r="R570" s="131"/>
      <c r="S570" s="131"/>
      <c r="T570" s="131"/>
      <c r="U570" s="131"/>
      <c r="V570" s="131"/>
      <c r="W570" s="131"/>
      <c r="X570" s="131"/>
      <c r="Y570" s="131"/>
      <c r="Z570" s="131"/>
      <c r="AA570" s="131"/>
      <c r="AB570" s="131"/>
      <c r="AC570" s="131"/>
    </row>
    <row r="571" spans="2:29" x14ac:dyDescent="0.2">
      <c r="B571" s="151"/>
      <c r="C571" s="152"/>
      <c r="H571" s="340"/>
      <c r="L571" s="131"/>
      <c r="M571" s="131"/>
      <c r="N571" s="131"/>
      <c r="O571" s="131"/>
      <c r="P571" s="131"/>
      <c r="Q571" s="131"/>
      <c r="R571" s="131"/>
      <c r="S571" s="131"/>
      <c r="T571" s="131"/>
      <c r="U571" s="131"/>
      <c r="V571" s="131"/>
      <c r="W571" s="131"/>
      <c r="X571" s="131"/>
      <c r="Y571" s="131"/>
      <c r="Z571" s="131"/>
      <c r="AA571" s="131"/>
      <c r="AB571" s="131"/>
      <c r="AC571" s="131"/>
    </row>
    <row r="572" spans="2:29" x14ac:dyDescent="0.2">
      <c r="B572" s="151"/>
      <c r="C572" s="152"/>
      <c r="H572" s="340"/>
      <c r="L572" s="131"/>
      <c r="M572" s="131"/>
      <c r="N572" s="131"/>
      <c r="O572" s="131"/>
      <c r="P572" s="131"/>
      <c r="Q572" s="131"/>
      <c r="R572" s="131"/>
      <c r="S572" s="131"/>
      <c r="T572" s="131"/>
      <c r="U572" s="131"/>
      <c r="V572" s="131"/>
      <c r="W572" s="131"/>
      <c r="X572" s="131"/>
      <c r="Y572" s="131"/>
      <c r="Z572" s="131"/>
      <c r="AA572" s="131"/>
      <c r="AB572" s="131"/>
      <c r="AC572" s="131"/>
    </row>
    <row r="573" spans="2:29" x14ac:dyDescent="0.2">
      <c r="B573" s="151"/>
      <c r="C573" s="152"/>
      <c r="H573" s="340"/>
      <c r="L573" s="131"/>
      <c r="M573" s="131"/>
      <c r="N573" s="131"/>
      <c r="O573" s="131"/>
      <c r="P573" s="131"/>
      <c r="Q573" s="131"/>
      <c r="R573" s="131"/>
      <c r="S573" s="131"/>
      <c r="T573" s="131"/>
      <c r="U573" s="131"/>
      <c r="V573" s="131"/>
      <c r="W573" s="131"/>
      <c r="X573" s="131"/>
      <c r="Y573" s="131"/>
      <c r="Z573" s="131"/>
      <c r="AA573" s="131"/>
      <c r="AB573" s="131"/>
      <c r="AC573" s="131"/>
    </row>
    <row r="574" spans="2:29" x14ac:dyDescent="0.2">
      <c r="B574" s="151"/>
      <c r="C574" s="152"/>
      <c r="H574" s="340"/>
      <c r="L574" s="131"/>
      <c r="M574" s="131"/>
      <c r="N574" s="131"/>
      <c r="O574" s="131"/>
      <c r="P574" s="131"/>
      <c r="Q574" s="131"/>
      <c r="R574" s="131"/>
      <c r="S574" s="131"/>
      <c r="T574" s="131"/>
      <c r="U574" s="131"/>
      <c r="V574" s="131"/>
      <c r="W574" s="131"/>
      <c r="X574" s="131"/>
      <c r="Y574" s="131"/>
      <c r="Z574" s="131"/>
      <c r="AA574" s="131"/>
      <c r="AB574" s="131"/>
      <c r="AC574" s="131"/>
    </row>
    <row r="575" spans="2:29" x14ac:dyDescent="0.2">
      <c r="B575" s="151"/>
      <c r="C575" s="152"/>
      <c r="H575" s="340"/>
      <c r="L575" s="131"/>
      <c r="M575" s="131"/>
      <c r="N575" s="131"/>
      <c r="O575" s="131"/>
      <c r="P575" s="131"/>
      <c r="Q575" s="131"/>
      <c r="R575" s="131"/>
      <c r="S575" s="131"/>
      <c r="T575" s="131"/>
      <c r="U575" s="131"/>
      <c r="V575" s="131"/>
      <c r="W575" s="131"/>
      <c r="X575" s="131"/>
      <c r="Y575" s="131"/>
      <c r="Z575" s="131"/>
      <c r="AA575" s="131"/>
      <c r="AB575" s="131"/>
      <c r="AC575" s="131"/>
    </row>
    <row r="576" spans="2:29" x14ac:dyDescent="0.2">
      <c r="B576" s="151"/>
      <c r="C576" s="152"/>
      <c r="H576" s="340"/>
      <c r="L576" s="131"/>
      <c r="M576" s="131"/>
      <c r="N576" s="131"/>
      <c r="O576" s="131"/>
      <c r="P576" s="131"/>
      <c r="Q576" s="131"/>
      <c r="R576" s="131"/>
      <c r="S576" s="131"/>
      <c r="T576" s="131"/>
      <c r="U576" s="131"/>
      <c r="V576" s="131"/>
      <c r="W576" s="131"/>
      <c r="X576" s="131"/>
      <c r="Y576" s="131"/>
      <c r="Z576" s="131"/>
      <c r="AA576" s="131"/>
      <c r="AB576" s="131"/>
      <c r="AC576" s="131"/>
    </row>
    <row r="577" spans="2:29" x14ac:dyDescent="0.2">
      <c r="B577" s="151"/>
      <c r="C577" s="152"/>
      <c r="H577" s="340"/>
      <c r="L577" s="131"/>
      <c r="M577" s="131"/>
      <c r="N577" s="131"/>
      <c r="O577" s="131"/>
      <c r="P577" s="131"/>
      <c r="Q577" s="131"/>
      <c r="R577" s="131"/>
      <c r="S577" s="131"/>
      <c r="T577" s="131"/>
      <c r="U577" s="131"/>
      <c r="V577" s="131"/>
      <c r="W577" s="131"/>
      <c r="X577" s="131"/>
      <c r="Y577" s="131"/>
      <c r="Z577" s="131"/>
      <c r="AA577" s="131"/>
      <c r="AB577" s="131"/>
      <c r="AC577" s="131"/>
    </row>
    <row r="578" spans="2:29" x14ac:dyDescent="0.2">
      <c r="B578" s="151"/>
      <c r="C578" s="152"/>
      <c r="H578" s="340"/>
      <c r="L578" s="131"/>
      <c r="M578" s="131"/>
      <c r="N578" s="131"/>
      <c r="O578" s="131"/>
      <c r="P578" s="131"/>
      <c r="Q578" s="131"/>
      <c r="R578" s="131"/>
      <c r="S578" s="131"/>
      <c r="T578" s="131"/>
      <c r="U578" s="131"/>
      <c r="V578" s="131"/>
      <c r="W578" s="131"/>
      <c r="X578" s="131"/>
      <c r="Y578" s="131"/>
      <c r="Z578" s="131"/>
      <c r="AA578" s="131"/>
      <c r="AB578" s="131"/>
      <c r="AC578" s="131"/>
    </row>
    <row r="579" spans="2:29" x14ac:dyDescent="0.2">
      <c r="B579" s="151"/>
      <c r="C579" s="152"/>
      <c r="H579" s="340"/>
      <c r="L579" s="131"/>
      <c r="M579" s="131"/>
      <c r="N579" s="131"/>
      <c r="O579" s="131"/>
      <c r="P579" s="131"/>
      <c r="Q579" s="131"/>
      <c r="R579" s="131"/>
      <c r="S579" s="131"/>
      <c r="T579" s="131"/>
      <c r="U579" s="131"/>
      <c r="V579" s="131"/>
      <c r="W579" s="131"/>
      <c r="X579" s="131"/>
      <c r="Y579" s="131"/>
      <c r="Z579" s="131"/>
      <c r="AA579" s="131"/>
      <c r="AB579" s="131"/>
      <c r="AC579" s="131"/>
    </row>
    <row r="580" spans="2:29" x14ac:dyDescent="0.2">
      <c r="B580" s="151"/>
      <c r="C580" s="152"/>
      <c r="H580" s="340"/>
      <c r="L580" s="131"/>
      <c r="M580" s="131"/>
      <c r="N580" s="131"/>
      <c r="O580" s="131"/>
      <c r="P580" s="131"/>
      <c r="Q580" s="131"/>
      <c r="R580" s="131"/>
      <c r="S580" s="131"/>
      <c r="T580" s="131"/>
      <c r="U580" s="131"/>
      <c r="V580" s="131"/>
      <c r="W580" s="131"/>
      <c r="X580" s="131"/>
      <c r="Y580" s="131"/>
      <c r="Z580" s="131"/>
      <c r="AA580" s="131"/>
      <c r="AB580" s="131"/>
      <c r="AC580" s="131"/>
    </row>
    <row r="581" spans="2:29" x14ac:dyDescent="0.2">
      <c r="B581" s="151"/>
      <c r="C581" s="152"/>
      <c r="H581" s="340"/>
      <c r="L581" s="131"/>
      <c r="M581" s="131"/>
      <c r="N581" s="131"/>
      <c r="O581" s="131"/>
      <c r="P581" s="131"/>
      <c r="Q581" s="131"/>
      <c r="R581" s="131"/>
      <c r="S581" s="131"/>
      <c r="T581" s="131"/>
      <c r="U581" s="131"/>
      <c r="V581" s="131"/>
      <c r="W581" s="131"/>
      <c r="X581" s="131"/>
      <c r="Y581" s="131"/>
      <c r="Z581" s="131"/>
      <c r="AA581" s="131"/>
      <c r="AB581" s="131"/>
      <c r="AC581" s="131"/>
    </row>
    <row r="582" spans="2:29" x14ac:dyDescent="0.2">
      <c r="B582" s="151"/>
      <c r="C582" s="152"/>
      <c r="H582" s="340"/>
      <c r="L582" s="131"/>
      <c r="M582" s="131"/>
      <c r="N582" s="131"/>
      <c r="O582" s="131"/>
      <c r="P582" s="131"/>
      <c r="Q582" s="131"/>
      <c r="R582" s="131"/>
      <c r="S582" s="131"/>
      <c r="T582" s="131"/>
      <c r="U582" s="131"/>
      <c r="V582" s="131"/>
      <c r="W582" s="131"/>
      <c r="X582" s="131"/>
      <c r="Y582" s="131"/>
      <c r="Z582" s="131"/>
      <c r="AA582" s="131"/>
      <c r="AB582" s="131"/>
      <c r="AC582" s="131"/>
    </row>
    <row r="583" spans="2:29" x14ac:dyDescent="0.2">
      <c r="B583" s="151"/>
      <c r="C583" s="152"/>
      <c r="H583" s="340"/>
      <c r="L583" s="131"/>
      <c r="M583" s="131"/>
      <c r="N583" s="131"/>
      <c r="O583" s="131"/>
      <c r="P583" s="131"/>
      <c r="Q583" s="131"/>
      <c r="R583" s="131"/>
      <c r="S583" s="131"/>
      <c r="T583" s="131"/>
      <c r="U583" s="131"/>
      <c r="V583" s="131"/>
      <c r="W583" s="131"/>
      <c r="X583" s="131"/>
      <c r="Y583" s="131"/>
      <c r="Z583" s="131"/>
      <c r="AA583" s="131"/>
      <c r="AB583" s="131"/>
      <c r="AC583" s="131"/>
    </row>
    <row r="584" spans="2:29" x14ac:dyDescent="0.2">
      <c r="B584" s="151"/>
      <c r="C584" s="152"/>
      <c r="H584" s="340"/>
      <c r="L584" s="131"/>
      <c r="M584" s="131"/>
      <c r="N584" s="131"/>
      <c r="O584" s="131"/>
      <c r="P584" s="131"/>
      <c r="Q584" s="131"/>
      <c r="R584" s="131"/>
      <c r="S584" s="131"/>
      <c r="T584" s="131"/>
      <c r="U584" s="131"/>
      <c r="V584" s="131"/>
      <c r="W584" s="131"/>
      <c r="X584" s="131"/>
      <c r="Y584" s="131"/>
      <c r="Z584" s="131"/>
      <c r="AA584" s="131"/>
      <c r="AB584" s="131"/>
      <c r="AC584" s="131"/>
    </row>
    <row r="585" spans="2:29" x14ac:dyDescent="0.2">
      <c r="B585" s="151"/>
      <c r="C585" s="152"/>
      <c r="H585" s="340"/>
      <c r="L585" s="131"/>
      <c r="M585" s="131"/>
      <c r="N585" s="131"/>
      <c r="O585" s="131"/>
      <c r="P585" s="131"/>
      <c r="Q585" s="131"/>
      <c r="R585" s="131"/>
      <c r="S585" s="131"/>
      <c r="T585" s="131"/>
      <c r="U585" s="131"/>
      <c r="V585" s="131"/>
      <c r="W585" s="131"/>
      <c r="X585" s="131"/>
      <c r="Y585" s="131"/>
      <c r="Z585" s="131"/>
      <c r="AA585" s="131"/>
      <c r="AB585" s="131"/>
      <c r="AC585" s="131"/>
    </row>
    <row r="586" spans="2:29" x14ac:dyDescent="0.2">
      <c r="B586" s="151"/>
      <c r="C586" s="152"/>
      <c r="H586" s="340"/>
      <c r="L586" s="131"/>
      <c r="M586" s="131"/>
      <c r="N586" s="131"/>
      <c r="O586" s="131"/>
      <c r="P586" s="131"/>
      <c r="Q586" s="131"/>
      <c r="R586" s="131"/>
      <c r="S586" s="131"/>
      <c r="T586" s="131"/>
      <c r="U586" s="131"/>
      <c r="V586" s="131"/>
      <c r="W586" s="131"/>
      <c r="X586" s="131"/>
      <c r="Y586" s="131"/>
      <c r="Z586" s="131"/>
      <c r="AA586" s="131"/>
      <c r="AB586" s="131"/>
      <c r="AC586" s="131"/>
    </row>
    <row r="587" spans="2:29" x14ac:dyDescent="0.2">
      <c r="B587" s="151"/>
      <c r="C587" s="152"/>
      <c r="H587" s="340"/>
      <c r="L587" s="131"/>
      <c r="M587" s="131"/>
      <c r="N587" s="131"/>
      <c r="O587" s="131"/>
      <c r="P587" s="131"/>
      <c r="Q587" s="131"/>
      <c r="R587" s="131"/>
      <c r="S587" s="131"/>
      <c r="T587" s="131"/>
      <c r="U587" s="131"/>
      <c r="V587" s="131"/>
      <c r="W587" s="131"/>
      <c r="X587" s="131"/>
      <c r="Y587" s="131"/>
      <c r="Z587" s="131"/>
      <c r="AA587" s="131"/>
      <c r="AB587" s="131"/>
      <c r="AC587" s="131"/>
    </row>
    <row r="588" spans="2:29" x14ac:dyDescent="0.2">
      <c r="B588" s="151"/>
      <c r="C588" s="152"/>
      <c r="H588" s="340"/>
      <c r="L588" s="131"/>
      <c r="M588" s="131"/>
      <c r="N588" s="131"/>
      <c r="O588" s="131"/>
      <c r="P588" s="131"/>
      <c r="Q588" s="131"/>
      <c r="R588" s="131"/>
      <c r="S588" s="131"/>
      <c r="T588" s="131"/>
      <c r="U588" s="131"/>
      <c r="V588" s="131"/>
      <c r="W588" s="131"/>
      <c r="X588" s="131"/>
      <c r="Y588" s="131"/>
      <c r="Z588" s="131"/>
      <c r="AA588" s="131"/>
      <c r="AB588" s="131"/>
      <c r="AC588" s="131"/>
    </row>
    <row r="589" spans="2:29" x14ac:dyDescent="0.2">
      <c r="B589" s="151"/>
      <c r="C589" s="152"/>
      <c r="H589" s="340"/>
      <c r="L589" s="131"/>
      <c r="M589" s="131"/>
      <c r="N589" s="131"/>
      <c r="O589" s="131"/>
      <c r="P589" s="131"/>
      <c r="Q589" s="131"/>
      <c r="R589" s="131"/>
      <c r="S589" s="131"/>
      <c r="T589" s="131"/>
      <c r="U589" s="131"/>
      <c r="V589" s="131"/>
      <c r="W589" s="131"/>
      <c r="X589" s="131"/>
      <c r="Y589" s="131"/>
      <c r="Z589" s="131"/>
      <c r="AA589" s="131"/>
      <c r="AB589" s="131"/>
      <c r="AC589" s="131"/>
    </row>
    <row r="590" spans="2:29" x14ac:dyDescent="0.2">
      <c r="B590" s="151"/>
      <c r="C590" s="152"/>
      <c r="H590" s="340"/>
      <c r="L590" s="131"/>
      <c r="M590" s="131"/>
      <c r="N590" s="131"/>
      <c r="O590" s="131"/>
      <c r="P590" s="131"/>
      <c r="Q590" s="131"/>
      <c r="R590" s="131"/>
      <c r="S590" s="131"/>
      <c r="T590" s="131"/>
      <c r="U590" s="131"/>
      <c r="V590" s="131"/>
      <c r="W590" s="131"/>
      <c r="X590" s="131"/>
      <c r="Y590" s="131"/>
      <c r="Z590" s="131"/>
      <c r="AA590" s="131"/>
      <c r="AB590" s="131"/>
      <c r="AC590" s="131"/>
    </row>
    <row r="591" spans="2:29" x14ac:dyDescent="0.2">
      <c r="B591" s="151"/>
      <c r="C591" s="152"/>
      <c r="H591" s="340"/>
      <c r="L591" s="131"/>
      <c r="M591" s="131"/>
      <c r="N591" s="131"/>
      <c r="O591" s="131"/>
      <c r="P591" s="131"/>
      <c r="Q591" s="131"/>
      <c r="R591" s="131"/>
      <c r="S591" s="131"/>
      <c r="T591" s="131"/>
      <c r="U591" s="131"/>
      <c r="V591" s="131"/>
      <c r="W591" s="131"/>
      <c r="X591" s="131"/>
      <c r="Y591" s="131"/>
      <c r="Z591" s="131"/>
      <c r="AA591" s="131"/>
      <c r="AB591" s="131"/>
      <c r="AC591" s="131"/>
    </row>
    <row r="592" spans="2:29" x14ac:dyDescent="0.2">
      <c r="B592" s="151"/>
      <c r="C592" s="152"/>
      <c r="H592" s="340"/>
      <c r="L592" s="131"/>
      <c r="M592" s="131"/>
      <c r="N592" s="131"/>
      <c r="O592" s="131"/>
      <c r="P592" s="131"/>
      <c r="Q592" s="131"/>
      <c r="R592" s="131"/>
      <c r="S592" s="131"/>
      <c r="T592" s="131"/>
      <c r="U592" s="131"/>
      <c r="V592" s="131"/>
      <c r="W592" s="131"/>
      <c r="X592" s="131"/>
      <c r="Y592" s="131"/>
      <c r="Z592" s="131"/>
      <c r="AA592" s="131"/>
      <c r="AB592" s="131"/>
      <c r="AC592" s="131"/>
    </row>
    <row r="593" spans="2:29" x14ac:dyDescent="0.2">
      <c r="B593" s="151"/>
      <c r="C593" s="152"/>
      <c r="H593" s="340"/>
      <c r="L593" s="131"/>
      <c r="M593" s="131"/>
      <c r="N593" s="131"/>
      <c r="O593" s="131"/>
      <c r="P593" s="131"/>
      <c r="Q593" s="131"/>
      <c r="R593" s="131"/>
      <c r="S593" s="131"/>
      <c r="T593" s="131"/>
      <c r="U593" s="131"/>
      <c r="V593" s="131"/>
      <c r="W593" s="131"/>
      <c r="X593" s="131"/>
      <c r="Y593" s="131"/>
      <c r="Z593" s="131"/>
      <c r="AA593" s="131"/>
      <c r="AB593" s="131"/>
      <c r="AC593" s="131"/>
    </row>
    <row r="594" spans="2:29" x14ac:dyDescent="0.2">
      <c r="B594" s="151"/>
      <c r="C594" s="152"/>
      <c r="H594" s="340"/>
      <c r="L594" s="131"/>
      <c r="M594" s="131"/>
      <c r="N594" s="131"/>
      <c r="O594" s="131"/>
      <c r="P594" s="131"/>
      <c r="Q594" s="131"/>
      <c r="R594" s="131"/>
      <c r="S594" s="131"/>
      <c r="T594" s="131"/>
      <c r="U594" s="131"/>
      <c r="V594" s="131"/>
      <c r="W594" s="131"/>
      <c r="X594" s="131"/>
      <c r="Y594" s="131"/>
      <c r="Z594" s="131"/>
      <c r="AA594" s="131"/>
      <c r="AB594" s="131"/>
      <c r="AC594" s="131"/>
    </row>
    <row r="595" spans="2:29" x14ac:dyDescent="0.2">
      <c r="B595" s="151"/>
      <c r="C595" s="152"/>
      <c r="H595" s="340"/>
      <c r="L595" s="131"/>
      <c r="M595" s="131"/>
      <c r="N595" s="131"/>
      <c r="O595" s="131"/>
      <c r="P595" s="131"/>
      <c r="Q595" s="131"/>
      <c r="R595" s="131"/>
      <c r="S595" s="131"/>
      <c r="T595" s="131"/>
      <c r="U595" s="131"/>
      <c r="V595" s="131"/>
      <c r="W595" s="131"/>
      <c r="X595" s="131"/>
      <c r="Y595" s="131"/>
      <c r="Z595" s="131"/>
      <c r="AA595" s="131"/>
      <c r="AB595" s="131"/>
      <c r="AC595" s="131"/>
    </row>
    <row r="596" spans="2:29" x14ac:dyDescent="0.2">
      <c r="B596" s="151"/>
      <c r="C596" s="152"/>
      <c r="H596" s="340"/>
      <c r="L596" s="131"/>
      <c r="M596" s="131"/>
      <c r="N596" s="131"/>
      <c r="O596" s="131"/>
      <c r="P596" s="131"/>
      <c r="Q596" s="131"/>
      <c r="R596" s="131"/>
      <c r="S596" s="131"/>
      <c r="T596" s="131"/>
      <c r="U596" s="131"/>
      <c r="V596" s="131"/>
      <c r="W596" s="131"/>
      <c r="X596" s="131"/>
      <c r="Y596" s="131"/>
      <c r="Z596" s="131"/>
      <c r="AA596" s="131"/>
      <c r="AB596" s="131"/>
      <c r="AC596" s="131"/>
    </row>
    <row r="597" spans="2:29" x14ac:dyDescent="0.2">
      <c r="B597" s="151"/>
      <c r="C597" s="152"/>
      <c r="H597" s="340"/>
      <c r="L597" s="131"/>
      <c r="M597" s="131"/>
      <c r="N597" s="131"/>
      <c r="O597" s="131"/>
      <c r="P597" s="131"/>
      <c r="Q597" s="131"/>
      <c r="R597" s="131"/>
      <c r="S597" s="131"/>
      <c r="T597" s="131"/>
      <c r="U597" s="131"/>
      <c r="V597" s="131"/>
      <c r="W597" s="131"/>
      <c r="X597" s="131"/>
      <c r="Y597" s="131"/>
      <c r="Z597" s="131"/>
      <c r="AA597" s="131"/>
      <c r="AB597" s="131"/>
      <c r="AC597" s="131"/>
    </row>
    <row r="598" spans="2:29" x14ac:dyDescent="0.2">
      <c r="B598" s="151"/>
      <c r="C598" s="152"/>
      <c r="H598" s="340"/>
      <c r="L598" s="131"/>
      <c r="M598" s="131"/>
      <c r="N598" s="131"/>
      <c r="O598" s="131"/>
      <c r="P598" s="131"/>
      <c r="Q598" s="131"/>
      <c r="R598" s="131"/>
      <c r="S598" s="131"/>
      <c r="T598" s="131"/>
      <c r="U598" s="131"/>
      <c r="V598" s="131"/>
      <c r="W598" s="131"/>
      <c r="X598" s="131"/>
      <c r="Y598" s="131"/>
      <c r="Z598" s="131"/>
      <c r="AA598" s="131"/>
      <c r="AB598" s="131"/>
      <c r="AC598" s="131"/>
    </row>
    <row r="599" spans="2:29" x14ac:dyDescent="0.2">
      <c r="B599" s="151"/>
      <c r="C599" s="152"/>
      <c r="H599" s="340"/>
      <c r="L599" s="131"/>
      <c r="M599" s="131"/>
      <c r="N599" s="131"/>
      <c r="O599" s="131"/>
      <c r="P599" s="131"/>
      <c r="Q599" s="131"/>
      <c r="R599" s="131"/>
      <c r="S599" s="131"/>
      <c r="T599" s="131"/>
      <c r="U599" s="131"/>
      <c r="V599" s="131"/>
      <c r="W599" s="131"/>
      <c r="X599" s="131"/>
      <c r="Y599" s="131"/>
      <c r="Z599" s="131"/>
      <c r="AA599" s="131"/>
      <c r="AB599" s="131"/>
      <c r="AC599" s="131"/>
    </row>
    <row r="600" spans="2:29" x14ac:dyDescent="0.2">
      <c r="B600" s="151"/>
      <c r="C600" s="152"/>
      <c r="H600" s="340"/>
      <c r="L600" s="131"/>
      <c r="M600" s="131"/>
      <c r="N600" s="131"/>
      <c r="O600" s="131"/>
      <c r="P600" s="131"/>
      <c r="Q600" s="131"/>
      <c r="R600" s="131"/>
      <c r="S600" s="131"/>
      <c r="T600" s="131"/>
      <c r="U600" s="131"/>
      <c r="V600" s="131"/>
      <c r="W600" s="131"/>
      <c r="X600" s="131"/>
      <c r="Y600" s="131"/>
      <c r="Z600" s="131"/>
      <c r="AA600" s="131"/>
      <c r="AB600" s="131"/>
      <c r="AC600" s="131"/>
    </row>
    <row r="601" spans="2:29" x14ac:dyDescent="0.2">
      <c r="B601" s="151"/>
      <c r="C601" s="152"/>
      <c r="H601" s="340"/>
      <c r="L601" s="131"/>
      <c r="M601" s="131"/>
      <c r="N601" s="131"/>
      <c r="O601" s="131"/>
      <c r="P601" s="131"/>
      <c r="Q601" s="131"/>
      <c r="R601" s="131"/>
      <c r="S601" s="131"/>
      <c r="T601" s="131"/>
      <c r="U601" s="131"/>
      <c r="V601" s="131"/>
      <c r="W601" s="131"/>
      <c r="X601" s="131"/>
      <c r="Y601" s="131"/>
      <c r="Z601" s="131"/>
      <c r="AA601" s="131"/>
      <c r="AB601" s="131"/>
      <c r="AC601" s="131"/>
    </row>
    <row r="602" spans="2:29" x14ac:dyDescent="0.2">
      <c r="B602" s="151"/>
      <c r="C602" s="152"/>
      <c r="H602" s="340"/>
      <c r="L602" s="131"/>
      <c r="M602" s="131"/>
      <c r="N602" s="131"/>
      <c r="O602" s="131"/>
      <c r="P602" s="131"/>
      <c r="Q602" s="131"/>
      <c r="R602" s="131"/>
      <c r="S602" s="131"/>
      <c r="T602" s="131"/>
      <c r="U602" s="131"/>
      <c r="V602" s="131"/>
      <c r="W602" s="131"/>
      <c r="X602" s="131"/>
      <c r="Y602" s="131"/>
      <c r="Z602" s="131"/>
      <c r="AA602" s="131"/>
      <c r="AB602" s="131"/>
      <c r="AC602" s="131"/>
    </row>
    <row r="603" spans="2:29" x14ac:dyDescent="0.2">
      <c r="B603" s="151"/>
      <c r="C603" s="152"/>
      <c r="H603" s="340"/>
      <c r="L603" s="131"/>
      <c r="M603" s="131"/>
      <c r="N603" s="131"/>
      <c r="O603" s="131"/>
      <c r="P603" s="131"/>
      <c r="Q603" s="131"/>
      <c r="R603" s="131"/>
      <c r="S603" s="131"/>
      <c r="T603" s="131"/>
      <c r="U603" s="131"/>
      <c r="V603" s="131"/>
      <c r="W603" s="131"/>
      <c r="X603" s="131"/>
      <c r="Y603" s="131"/>
      <c r="Z603" s="131"/>
      <c r="AA603" s="131"/>
      <c r="AB603" s="131"/>
      <c r="AC603" s="131"/>
    </row>
    <row r="604" spans="2:29" x14ac:dyDescent="0.2">
      <c r="B604" s="151"/>
      <c r="C604" s="152"/>
      <c r="H604" s="340"/>
      <c r="L604" s="131"/>
      <c r="M604" s="131"/>
      <c r="N604" s="131"/>
      <c r="O604" s="131"/>
      <c r="P604" s="131"/>
      <c r="Q604" s="131"/>
      <c r="R604" s="131"/>
      <c r="S604" s="131"/>
      <c r="T604" s="131"/>
      <c r="U604" s="131"/>
      <c r="V604" s="131"/>
      <c r="W604" s="131"/>
      <c r="X604" s="131"/>
      <c r="Y604" s="131"/>
      <c r="Z604" s="131"/>
      <c r="AA604" s="131"/>
      <c r="AB604" s="131"/>
      <c r="AC604" s="131"/>
    </row>
    <row r="605" spans="2:29" x14ac:dyDescent="0.2">
      <c r="B605" s="151"/>
      <c r="C605" s="152"/>
      <c r="H605" s="340"/>
      <c r="L605" s="131"/>
      <c r="M605" s="131"/>
      <c r="N605" s="131"/>
      <c r="O605" s="131"/>
      <c r="P605" s="131"/>
      <c r="Q605" s="131"/>
      <c r="R605" s="131"/>
      <c r="S605" s="131"/>
      <c r="T605" s="131"/>
      <c r="U605" s="131"/>
      <c r="V605" s="131"/>
      <c r="W605" s="131"/>
      <c r="X605" s="131"/>
      <c r="Y605" s="131"/>
      <c r="Z605" s="131"/>
      <c r="AA605" s="131"/>
      <c r="AB605" s="131"/>
      <c r="AC605" s="131"/>
    </row>
    <row r="606" spans="2:29" x14ac:dyDescent="0.2">
      <c r="B606" s="151"/>
      <c r="C606" s="152"/>
      <c r="H606" s="340"/>
      <c r="L606" s="131"/>
      <c r="M606" s="131"/>
      <c r="N606" s="131"/>
      <c r="O606" s="131"/>
      <c r="P606" s="131"/>
      <c r="Q606" s="131"/>
      <c r="R606" s="131"/>
      <c r="S606" s="131"/>
      <c r="T606" s="131"/>
      <c r="U606" s="131"/>
      <c r="V606" s="131"/>
      <c r="W606" s="131"/>
      <c r="X606" s="131"/>
      <c r="Y606" s="131"/>
      <c r="Z606" s="131"/>
      <c r="AA606" s="131"/>
      <c r="AB606" s="131"/>
      <c r="AC606" s="131"/>
    </row>
    <row r="607" spans="2:29" x14ac:dyDescent="0.2">
      <c r="B607" s="151"/>
      <c r="C607" s="152"/>
      <c r="H607" s="340"/>
      <c r="L607" s="131"/>
      <c r="M607" s="131"/>
      <c r="N607" s="131"/>
      <c r="O607" s="131"/>
      <c r="P607" s="131"/>
      <c r="Q607" s="131"/>
      <c r="R607" s="131"/>
      <c r="S607" s="131"/>
      <c r="T607" s="131"/>
      <c r="U607" s="131"/>
      <c r="V607" s="131"/>
      <c r="W607" s="131"/>
      <c r="X607" s="131"/>
      <c r="Y607" s="131"/>
      <c r="Z607" s="131"/>
      <c r="AA607" s="131"/>
      <c r="AB607" s="131"/>
      <c r="AC607" s="131"/>
    </row>
    <row r="608" spans="2:29" x14ac:dyDescent="0.2">
      <c r="B608" s="151"/>
      <c r="C608" s="152"/>
      <c r="H608" s="340"/>
      <c r="L608" s="131"/>
      <c r="M608" s="131"/>
      <c r="N608" s="131"/>
      <c r="O608" s="131"/>
      <c r="P608" s="131"/>
      <c r="Q608" s="131"/>
      <c r="R608" s="131"/>
      <c r="S608" s="131"/>
      <c r="T608" s="131"/>
      <c r="U608" s="131"/>
      <c r="V608" s="131"/>
      <c r="W608" s="131"/>
      <c r="X608" s="131"/>
      <c r="Y608" s="131"/>
      <c r="Z608" s="131"/>
      <c r="AA608" s="131"/>
      <c r="AB608" s="131"/>
      <c r="AC608" s="131"/>
    </row>
    <row r="609" spans="2:29" x14ac:dyDescent="0.2">
      <c r="B609" s="151"/>
      <c r="C609" s="152"/>
      <c r="H609" s="340"/>
      <c r="L609" s="131"/>
      <c r="M609" s="131"/>
      <c r="N609" s="131"/>
      <c r="O609" s="131"/>
      <c r="P609" s="131"/>
      <c r="Q609" s="131"/>
      <c r="R609" s="131"/>
      <c r="S609" s="131"/>
      <c r="T609" s="131"/>
      <c r="U609" s="131"/>
      <c r="V609" s="131"/>
      <c r="W609" s="131"/>
      <c r="X609" s="131"/>
      <c r="Y609" s="131"/>
      <c r="Z609" s="131"/>
      <c r="AA609" s="131"/>
      <c r="AB609" s="131"/>
      <c r="AC609" s="131"/>
    </row>
    <row r="610" spans="2:29" x14ac:dyDescent="0.2">
      <c r="B610" s="151"/>
      <c r="C610" s="152"/>
      <c r="H610" s="340"/>
      <c r="L610" s="131"/>
      <c r="M610" s="131"/>
      <c r="N610" s="131"/>
      <c r="O610" s="131"/>
      <c r="P610" s="131"/>
      <c r="Q610" s="131"/>
      <c r="R610" s="131"/>
      <c r="S610" s="131"/>
      <c r="T610" s="131"/>
      <c r="U610" s="131"/>
      <c r="V610" s="131"/>
      <c r="W610" s="131"/>
      <c r="X610" s="131"/>
      <c r="Y610" s="131"/>
      <c r="Z610" s="131"/>
      <c r="AA610" s="131"/>
      <c r="AB610" s="131"/>
      <c r="AC610" s="131"/>
    </row>
    <row r="611" spans="2:29" x14ac:dyDescent="0.2">
      <c r="B611" s="151"/>
      <c r="C611" s="152"/>
      <c r="H611" s="340"/>
      <c r="L611" s="131"/>
      <c r="M611" s="131"/>
      <c r="N611" s="131"/>
      <c r="O611" s="131"/>
      <c r="P611" s="131"/>
      <c r="Q611" s="131"/>
      <c r="R611" s="131"/>
      <c r="S611" s="131"/>
      <c r="T611" s="131"/>
      <c r="U611" s="131"/>
      <c r="V611" s="131"/>
      <c r="W611" s="131"/>
      <c r="X611" s="131"/>
      <c r="Y611" s="131"/>
      <c r="Z611" s="131"/>
      <c r="AA611" s="131"/>
      <c r="AB611" s="131"/>
      <c r="AC611" s="131"/>
    </row>
    <row r="612" spans="2:29" x14ac:dyDescent="0.2">
      <c r="B612" s="151"/>
      <c r="C612" s="152"/>
      <c r="H612" s="340"/>
      <c r="L612" s="131"/>
      <c r="M612" s="131"/>
      <c r="N612" s="131"/>
      <c r="O612" s="131"/>
      <c r="P612" s="131"/>
      <c r="Q612" s="131"/>
      <c r="R612" s="131"/>
      <c r="S612" s="131"/>
      <c r="T612" s="131"/>
      <c r="U612" s="131"/>
      <c r="V612" s="131"/>
      <c r="W612" s="131"/>
      <c r="X612" s="131"/>
      <c r="Y612" s="131"/>
      <c r="Z612" s="131"/>
      <c r="AA612" s="131"/>
      <c r="AB612" s="131"/>
      <c r="AC612" s="131"/>
    </row>
    <row r="613" spans="2:29" x14ac:dyDescent="0.2">
      <c r="B613" s="151"/>
      <c r="C613" s="152"/>
      <c r="H613" s="340"/>
      <c r="L613" s="131"/>
      <c r="M613" s="131"/>
      <c r="N613" s="131"/>
      <c r="O613" s="131"/>
      <c r="P613" s="131"/>
      <c r="Q613" s="131"/>
      <c r="R613" s="131"/>
      <c r="S613" s="131"/>
      <c r="T613" s="131"/>
      <c r="U613" s="131"/>
      <c r="V613" s="131"/>
      <c r="W613" s="131"/>
      <c r="X613" s="131"/>
      <c r="Y613" s="131"/>
      <c r="Z613" s="131"/>
      <c r="AA613" s="131"/>
      <c r="AB613" s="131"/>
      <c r="AC613" s="131"/>
    </row>
    <row r="614" spans="2:29" x14ac:dyDescent="0.2">
      <c r="B614" s="151"/>
      <c r="C614" s="152"/>
      <c r="H614" s="340"/>
      <c r="L614" s="131"/>
      <c r="M614" s="131"/>
      <c r="N614" s="131"/>
      <c r="O614" s="131"/>
      <c r="P614" s="131"/>
      <c r="Q614" s="131"/>
      <c r="R614" s="131"/>
      <c r="S614" s="131"/>
      <c r="T614" s="131"/>
      <c r="U614" s="131"/>
      <c r="V614" s="131"/>
      <c r="W614" s="131"/>
      <c r="X614" s="131"/>
      <c r="Y614" s="131"/>
      <c r="Z614" s="131"/>
      <c r="AA614" s="131"/>
      <c r="AB614" s="131"/>
      <c r="AC614" s="131"/>
    </row>
    <row r="615" spans="2:29" x14ac:dyDescent="0.2">
      <c r="B615" s="151"/>
      <c r="C615" s="152"/>
      <c r="H615" s="340"/>
      <c r="L615" s="131"/>
      <c r="M615" s="131"/>
      <c r="N615" s="131"/>
      <c r="O615" s="131"/>
      <c r="P615" s="131"/>
      <c r="Q615" s="131"/>
      <c r="R615" s="131"/>
      <c r="S615" s="131"/>
      <c r="T615" s="131"/>
      <c r="U615" s="131"/>
      <c r="V615" s="131"/>
      <c r="W615" s="131"/>
      <c r="X615" s="131"/>
      <c r="Y615" s="131"/>
      <c r="Z615" s="131"/>
      <c r="AA615" s="131"/>
      <c r="AB615" s="131"/>
      <c r="AC615" s="131"/>
    </row>
    <row r="616" spans="2:29" x14ac:dyDescent="0.2">
      <c r="B616" s="151"/>
      <c r="C616" s="152"/>
      <c r="H616" s="340"/>
      <c r="L616" s="131"/>
      <c r="M616" s="131"/>
      <c r="N616" s="131"/>
      <c r="O616" s="131"/>
      <c r="P616" s="131"/>
      <c r="Q616" s="131"/>
      <c r="R616" s="131"/>
      <c r="S616" s="131"/>
      <c r="T616" s="131"/>
      <c r="U616" s="131"/>
      <c r="V616" s="131"/>
      <c r="W616" s="131"/>
      <c r="X616" s="131"/>
      <c r="Y616" s="131"/>
      <c r="Z616" s="131"/>
      <c r="AA616" s="131"/>
      <c r="AB616" s="131"/>
      <c r="AC616" s="131"/>
    </row>
    <row r="617" spans="2:29" x14ac:dyDescent="0.2">
      <c r="B617" s="151"/>
      <c r="C617" s="152"/>
      <c r="H617" s="340"/>
      <c r="L617" s="131"/>
      <c r="M617" s="131"/>
      <c r="N617" s="131"/>
      <c r="O617" s="131"/>
      <c r="P617" s="131"/>
      <c r="Q617" s="131"/>
      <c r="R617" s="131"/>
      <c r="S617" s="131"/>
      <c r="T617" s="131"/>
      <c r="U617" s="131"/>
      <c r="V617" s="131"/>
      <c r="W617" s="131"/>
      <c r="X617" s="131"/>
      <c r="Y617" s="131"/>
      <c r="Z617" s="131"/>
      <c r="AA617" s="131"/>
      <c r="AB617" s="131"/>
      <c r="AC617" s="131"/>
    </row>
    <row r="618" spans="2:29" x14ac:dyDescent="0.2">
      <c r="B618" s="151"/>
      <c r="C618" s="152"/>
      <c r="H618" s="340"/>
      <c r="L618" s="131"/>
      <c r="M618" s="131"/>
      <c r="N618" s="131"/>
      <c r="O618" s="131"/>
      <c r="P618" s="131"/>
      <c r="Q618" s="131"/>
      <c r="R618" s="131"/>
      <c r="S618" s="131"/>
      <c r="T618" s="131"/>
      <c r="U618" s="131"/>
      <c r="V618" s="131"/>
      <c r="W618" s="131"/>
      <c r="X618" s="131"/>
      <c r="Y618" s="131"/>
      <c r="Z618" s="131"/>
      <c r="AA618" s="131"/>
      <c r="AB618" s="131"/>
      <c r="AC618" s="131"/>
    </row>
    <row r="619" spans="2:29" x14ac:dyDescent="0.2">
      <c r="B619" s="151"/>
      <c r="C619" s="152"/>
      <c r="H619" s="340"/>
      <c r="L619" s="131"/>
      <c r="M619" s="131"/>
      <c r="N619" s="131"/>
      <c r="O619" s="131"/>
      <c r="P619" s="131"/>
      <c r="Q619" s="131"/>
      <c r="R619" s="131"/>
      <c r="S619" s="131"/>
      <c r="T619" s="131"/>
      <c r="U619" s="131"/>
      <c r="V619" s="131"/>
      <c r="W619" s="131"/>
      <c r="X619" s="131"/>
      <c r="Y619" s="131"/>
      <c r="Z619" s="131"/>
      <c r="AA619" s="131"/>
      <c r="AB619" s="131"/>
      <c r="AC619" s="131"/>
    </row>
    <row r="620" spans="2:29" x14ac:dyDescent="0.2">
      <c r="B620" s="151"/>
      <c r="C620" s="152"/>
      <c r="H620" s="340"/>
      <c r="L620" s="131"/>
      <c r="M620" s="131"/>
      <c r="N620" s="131"/>
      <c r="O620" s="131"/>
      <c r="P620" s="131"/>
      <c r="Q620" s="131"/>
      <c r="R620" s="131"/>
      <c r="S620" s="131"/>
      <c r="T620" s="131"/>
      <c r="U620" s="131"/>
      <c r="V620" s="131"/>
      <c r="W620" s="131"/>
      <c r="X620" s="131"/>
      <c r="Y620" s="131"/>
      <c r="Z620" s="131"/>
      <c r="AA620" s="131"/>
      <c r="AB620" s="131"/>
      <c r="AC620" s="131"/>
    </row>
    <row r="621" spans="2:29" x14ac:dyDescent="0.2">
      <c r="B621" s="151"/>
      <c r="C621" s="152"/>
      <c r="H621" s="340"/>
      <c r="L621" s="131"/>
      <c r="M621" s="131"/>
      <c r="N621" s="131"/>
      <c r="O621" s="131"/>
      <c r="P621" s="131"/>
      <c r="Q621" s="131"/>
      <c r="R621" s="131"/>
      <c r="S621" s="131"/>
      <c r="T621" s="131"/>
      <c r="U621" s="131"/>
      <c r="V621" s="131"/>
      <c r="W621" s="131"/>
      <c r="X621" s="131"/>
      <c r="Y621" s="131"/>
      <c r="Z621" s="131"/>
      <c r="AA621" s="131"/>
      <c r="AB621" s="131"/>
      <c r="AC621" s="131"/>
    </row>
    <row r="622" spans="2:29" x14ac:dyDescent="0.2">
      <c r="B622" s="151"/>
      <c r="C622" s="152"/>
      <c r="H622" s="340"/>
      <c r="L622" s="131"/>
      <c r="M622" s="131"/>
      <c r="N622" s="131"/>
      <c r="O622" s="131"/>
      <c r="P622" s="131"/>
      <c r="Q622" s="131"/>
      <c r="R622" s="131"/>
      <c r="S622" s="131"/>
      <c r="T622" s="131"/>
      <c r="U622" s="131"/>
      <c r="V622" s="131"/>
      <c r="W622" s="131"/>
      <c r="X622" s="131"/>
      <c r="Y622" s="131"/>
      <c r="Z622" s="131"/>
      <c r="AA622" s="131"/>
      <c r="AB622" s="131"/>
      <c r="AC622" s="131"/>
    </row>
    <row r="623" spans="2:29" x14ac:dyDescent="0.2">
      <c r="B623" s="151"/>
      <c r="C623" s="152"/>
      <c r="H623" s="340"/>
      <c r="L623" s="131"/>
      <c r="M623" s="131"/>
      <c r="N623" s="131"/>
      <c r="O623" s="131"/>
      <c r="P623" s="131"/>
      <c r="Q623" s="131"/>
      <c r="R623" s="131"/>
      <c r="S623" s="131"/>
      <c r="T623" s="131"/>
      <c r="U623" s="131"/>
      <c r="V623" s="131"/>
      <c r="W623" s="131"/>
      <c r="X623" s="131"/>
      <c r="Y623" s="131"/>
      <c r="Z623" s="131"/>
      <c r="AA623" s="131"/>
      <c r="AB623" s="131"/>
      <c r="AC623" s="131"/>
    </row>
    <row r="624" spans="2:29" x14ac:dyDescent="0.2">
      <c r="B624" s="151"/>
      <c r="C624" s="152"/>
      <c r="H624" s="340"/>
      <c r="L624" s="131"/>
      <c r="M624" s="131"/>
      <c r="N624" s="131"/>
      <c r="O624" s="131"/>
      <c r="P624" s="131"/>
      <c r="Q624" s="131"/>
      <c r="R624" s="131"/>
      <c r="S624" s="131"/>
      <c r="T624" s="131"/>
      <c r="U624" s="131"/>
      <c r="V624" s="131"/>
      <c r="W624" s="131"/>
      <c r="X624" s="131"/>
      <c r="Y624" s="131"/>
      <c r="Z624" s="131"/>
      <c r="AA624" s="131"/>
      <c r="AB624" s="131"/>
      <c r="AC624" s="131"/>
    </row>
    <row r="625" spans="2:29" x14ac:dyDescent="0.2">
      <c r="B625" s="151"/>
      <c r="C625" s="152"/>
      <c r="H625" s="340"/>
      <c r="L625" s="131"/>
      <c r="M625" s="131"/>
      <c r="N625" s="131"/>
      <c r="O625" s="131"/>
      <c r="P625" s="131"/>
      <c r="Q625" s="131"/>
      <c r="R625" s="131"/>
      <c r="S625" s="131"/>
      <c r="T625" s="131"/>
      <c r="U625" s="131"/>
      <c r="V625" s="131"/>
      <c r="W625" s="131"/>
      <c r="X625" s="131"/>
      <c r="Y625" s="131"/>
      <c r="Z625" s="131"/>
      <c r="AA625" s="131"/>
      <c r="AB625" s="131"/>
      <c r="AC625" s="131"/>
    </row>
    <row r="626" spans="2:29" x14ac:dyDescent="0.2">
      <c r="B626" s="151"/>
      <c r="C626" s="152"/>
      <c r="H626" s="340"/>
      <c r="L626" s="131"/>
      <c r="M626" s="131"/>
      <c r="N626" s="131"/>
      <c r="O626" s="131"/>
      <c r="P626" s="131"/>
      <c r="Q626" s="131"/>
      <c r="R626" s="131"/>
      <c r="S626" s="131"/>
      <c r="T626" s="131"/>
      <c r="U626" s="131"/>
      <c r="V626" s="131"/>
      <c r="W626" s="131"/>
      <c r="X626" s="131"/>
      <c r="Y626" s="131"/>
      <c r="Z626" s="131"/>
      <c r="AA626" s="131"/>
      <c r="AB626" s="131"/>
      <c r="AC626" s="131"/>
    </row>
    <row r="627" spans="2:29" x14ac:dyDescent="0.2">
      <c r="B627" s="151"/>
      <c r="C627" s="152"/>
      <c r="H627" s="340"/>
      <c r="L627" s="131"/>
      <c r="M627" s="131"/>
      <c r="N627" s="131"/>
      <c r="O627" s="131"/>
      <c r="P627" s="131"/>
      <c r="Q627" s="131"/>
      <c r="R627" s="131"/>
      <c r="S627" s="131"/>
      <c r="T627" s="131"/>
      <c r="U627" s="131"/>
      <c r="V627" s="131"/>
      <c r="W627" s="131"/>
      <c r="X627" s="131"/>
      <c r="Y627" s="131"/>
      <c r="Z627" s="131"/>
      <c r="AA627" s="131"/>
      <c r="AB627" s="131"/>
      <c r="AC627" s="131"/>
    </row>
    <row r="628" spans="2:29" x14ac:dyDescent="0.2">
      <c r="B628" s="151"/>
      <c r="C628" s="152"/>
      <c r="H628" s="340"/>
      <c r="L628" s="131"/>
      <c r="M628" s="131"/>
      <c r="N628" s="131"/>
      <c r="O628" s="131"/>
      <c r="P628" s="131"/>
      <c r="Q628" s="131"/>
      <c r="R628" s="131"/>
      <c r="S628" s="131"/>
      <c r="T628" s="131"/>
      <c r="U628" s="131"/>
      <c r="V628" s="131"/>
      <c r="W628" s="131"/>
      <c r="X628" s="131"/>
      <c r="Y628" s="131"/>
      <c r="Z628" s="131"/>
      <c r="AA628" s="131"/>
      <c r="AB628" s="131"/>
      <c r="AC628" s="131"/>
    </row>
    <row r="629" spans="2:29" x14ac:dyDescent="0.2">
      <c r="B629" s="151"/>
      <c r="C629" s="152"/>
      <c r="H629" s="340"/>
      <c r="L629" s="131"/>
      <c r="M629" s="131"/>
      <c r="N629" s="131"/>
      <c r="O629" s="131"/>
      <c r="P629" s="131"/>
      <c r="Q629" s="131"/>
      <c r="R629" s="131"/>
      <c r="S629" s="131"/>
      <c r="T629" s="131"/>
      <c r="U629" s="131"/>
      <c r="V629" s="131"/>
      <c r="W629" s="131"/>
      <c r="X629" s="131"/>
      <c r="Y629" s="131"/>
      <c r="Z629" s="131"/>
      <c r="AA629" s="131"/>
      <c r="AB629" s="131"/>
      <c r="AC629" s="131"/>
    </row>
    <row r="630" spans="2:29" x14ac:dyDescent="0.2">
      <c r="B630" s="151"/>
      <c r="C630" s="152"/>
      <c r="H630" s="340"/>
      <c r="L630" s="131"/>
      <c r="M630" s="131"/>
      <c r="N630" s="131"/>
      <c r="O630" s="131"/>
      <c r="P630" s="131"/>
      <c r="Q630" s="131"/>
      <c r="R630" s="131"/>
      <c r="S630" s="131"/>
      <c r="T630" s="131"/>
      <c r="U630" s="131"/>
      <c r="V630" s="131"/>
      <c r="W630" s="131"/>
      <c r="X630" s="131"/>
      <c r="Y630" s="131"/>
      <c r="Z630" s="131"/>
      <c r="AA630" s="131"/>
      <c r="AB630" s="131"/>
      <c r="AC630" s="131"/>
    </row>
    <row r="631" spans="2:29" x14ac:dyDescent="0.2">
      <c r="B631" s="151"/>
      <c r="C631" s="152"/>
      <c r="H631" s="340"/>
      <c r="L631" s="131"/>
      <c r="M631" s="131"/>
      <c r="N631" s="131"/>
      <c r="O631" s="131"/>
      <c r="P631" s="131"/>
      <c r="Q631" s="131"/>
      <c r="R631" s="131"/>
      <c r="S631" s="131"/>
      <c r="T631" s="131"/>
      <c r="U631" s="131"/>
      <c r="V631" s="131"/>
      <c r="W631" s="131"/>
      <c r="X631" s="131"/>
      <c r="Y631" s="131"/>
      <c r="Z631" s="131"/>
      <c r="AA631" s="131"/>
      <c r="AB631" s="131"/>
      <c r="AC631" s="131"/>
    </row>
    <row r="632" spans="2:29" x14ac:dyDescent="0.2">
      <c r="B632" s="151"/>
      <c r="C632" s="152"/>
      <c r="H632" s="340"/>
      <c r="L632" s="131"/>
      <c r="M632" s="131"/>
      <c r="N632" s="131"/>
      <c r="O632" s="131"/>
      <c r="P632" s="131"/>
      <c r="Q632" s="131"/>
      <c r="R632" s="131"/>
      <c r="S632" s="131"/>
      <c r="T632" s="131"/>
      <c r="U632" s="131"/>
      <c r="V632" s="131"/>
      <c r="W632" s="131"/>
      <c r="X632" s="131"/>
      <c r="Y632" s="131"/>
      <c r="Z632" s="131"/>
      <c r="AA632" s="131"/>
      <c r="AB632" s="131"/>
      <c r="AC632" s="131"/>
    </row>
    <row r="633" spans="2:29" x14ac:dyDescent="0.2">
      <c r="B633" s="151"/>
      <c r="C633" s="152"/>
      <c r="H633" s="340"/>
      <c r="L633" s="131"/>
      <c r="M633" s="131"/>
      <c r="N633" s="131"/>
      <c r="O633" s="131"/>
      <c r="P633" s="131"/>
      <c r="Q633" s="131"/>
      <c r="R633" s="131"/>
      <c r="S633" s="131"/>
      <c r="T633" s="131"/>
      <c r="U633" s="131"/>
      <c r="V633" s="131"/>
      <c r="W633" s="131"/>
      <c r="X633" s="131"/>
      <c r="Y633" s="131"/>
      <c r="Z633" s="131"/>
      <c r="AA633" s="131"/>
      <c r="AB633" s="131"/>
      <c r="AC633" s="131"/>
    </row>
    <row r="634" spans="2:29" x14ac:dyDescent="0.2">
      <c r="B634" s="151"/>
      <c r="C634" s="152"/>
      <c r="H634" s="340"/>
      <c r="L634" s="131"/>
      <c r="M634" s="131"/>
      <c r="N634" s="131"/>
      <c r="O634" s="131"/>
      <c r="P634" s="131"/>
      <c r="Q634" s="131"/>
      <c r="R634" s="131"/>
      <c r="S634" s="131"/>
      <c r="T634" s="131"/>
      <c r="U634" s="131"/>
      <c r="V634" s="131"/>
      <c r="W634" s="131"/>
      <c r="X634" s="131"/>
      <c r="Y634" s="131"/>
      <c r="Z634" s="131"/>
      <c r="AA634" s="131"/>
      <c r="AB634" s="131"/>
      <c r="AC634" s="131"/>
    </row>
    <row r="635" spans="2:29" x14ac:dyDescent="0.2">
      <c r="B635" s="151"/>
      <c r="C635" s="152"/>
      <c r="H635" s="340"/>
      <c r="L635" s="131"/>
      <c r="M635" s="131"/>
      <c r="N635" s="131"/>
      <c r="O635" s="131"/>
      <c r="P635" s="131"/>
      <c r="Q635" s="131"/>
      <c r="R635" s="131"/>
      <c r="S635" s="131"/>
      <c r="T635" s="131"/>
      <c r="U635" s="131"/>
      <c r="V635" s="131"/>
      <c r="W635" s="131"/>
      <c r="X635" s="131"/>
      <c r="Y635" s="131"/>
      <c r="Z635" s="131"/>
      <c r="AA635" s="131"/>
      <c r="AB635" s="131"/>
      <c r="AC635" s="131"/>
    </row>
    <row r="636" spans="2:29" x14ac:dyDescent="0.2">
      <c r="B636" s="151"/>
      <c r="C636" s="152"/>
      <c r="H636" s="340"/>
      <c r="L636" s="131"/>
      <c r="M636" s="131"/>
      <c r="N636" s="131"/>
      <c r="O636" s="131"/>
      <c r="P636" s="131"/>
      <c r="Q636" s="131"/>
      <c r="R636" s="131"/>
      <c r="S636" s="131"/>
      <c r="T636" s="131"/>
      <c r="U636" s="131"/>
      <c r="V636" s="131"/>
      <c r="W636" s="131"/>
      <c r="X636" s="131"/>
      <c r="Y636" s="131"/>
      <c r="Z636" s="131"/>
      <c r="AA636" s="131"/>
      <c r="AB636" s="131"/>
      <c r="AC636" s="131"/>
    </row>
    <row r="637" spans="2:29" x14ac:dyDescent="0.2">
      <c r="B637" s="151"/>
      <c r="C637" s="152"/>
      <c r="H637" s="340"/>
      <c r="L637" s="131"/>
      <c r="M637" s="131"/>
      <c r="N637" s="131"/>
      <c r="O637" s="131"/>
      <c r="P637" s="131"/>
      <c r="Q637" s="131"/>
      <c r="R637" s="131"/>
      <c r="S637" s="131"/>
      <c r="T637" s="131"/>
      <c r="U637" s="131"/>
      <c r="V637" s="131"/>
      <c r="W637" s="131"/>
      <c r="X637" s="131"/>
      <c r="Y637" s="131"/>
      <c r="Z637" s="131"/>
      <c r="AA637" s="131"/>
      <c r="AB637" s="131"/>
      <c r="AC637" s="131"/>
    </row>
    <row r="638" spans="2:29" x14ac:dyDescent="0.2">
      <c r="B638" s="151"/>
      <c r="C638" s="152"/>
      <c r="H638" s="340"/>
      <c r="L638" s="131"/>
      <c r="M638" s="131"/>
      <c r="N638" s="131"/>
      <c r="O638" s="131"/>
      <c r="P638" s="131"/>
      <c r="Q638" s="131"/>
      <c r="R638" s="131"/>
      <c r="S638" s="131"/>
      <c r="T638" s="131"/>
      <c r="U638" s="131"/>
      <c r="V638" s="131"/>
      <c r="W638" s="131"/>
      <c r="X638" s="131"/>
      <c r="Y638" s="131"/>
      <c r="Z638" s="131"/>
      <c r="AA638" s="131"/>
      <c r="AB638" s="131"/>
      <c r="AC638" s="131"/>
    </row>
    <row r="639" spans="2:29" x14ac:dyDescent="0.2">
      <c r="B639" s="151"/>
      <c r="C639" s="152"/>
      <c r="H639" s="340"/>
      <c r="L639" s="131"/>
      <c r="M639" s="131"/>
      <c r="N639" s="131"/>
      <c r="O639" s="131"/>
      <c r="P639" s="131"/>
      <c r="Q639" s="131"/>
      <c r="R639" s="131"/>
      <c r="S639" s="131"/>
      <c r="T639" s="131"/>
      <c r="U639" s="131"/>
      <c r="V639" s="131"/>
      <c r="W639" s="131"/>
      <c r="X639" s="131"/>
      <c r="Y639" s="131"/>
      <c r="Z639" s="131"/>
      <c r="AA639" s="131"/>
      <c r="AB639" s="131"/>
      <c r="AC639" s="131"/>
    </row>
    <row r="640" spans="2:29" x14ac:dyDescent="0.2">
      <c r="B640" s="151"/>
      <c r="C640" s="152"/>
      <c r="H640" s="340"/>
      <c r="L640" s="131"/>
      <c r="M640" s="131"/>
      <c r="N640" s="131"/>
      <c r="O640" s="131"/>
      <c r="P640" s="131"/>
      <c r="Q640" s="131"/>
      <c r="R640" s="131"/>
      <c r="S640" s="131"/>
      <c r="T640" s="131"/>
      <c r="U640" s="131"/>
      <c r="V640" s="131"/>
      <c r="W640" s="131"/>
      <c r="X640" s="131"/>
      <c r="Y640" s="131"/>
      <c r="Z640" s="131"/>
      <c r="AA640" s="131"/>
      <c r="AB640" s="131"/>
      <c r="AC640" s="131"/>
    </row>
    <row r="641" spans="2:29" x14ac:dyDescent="0.2">
      <c r="B641" s="151"/>
      <c r="C641" s="152"/>
      <c r="H641" s="340"/>
      <c r="L641" s="131"/>
      <c r="M641" s="131"/>
      <c r="N641" s="131"/>
      <c r="O641" s="131"/>
      <c r="P641" s="131"/>
      <c r="Q641" s="131"/>
      <c r="R641" s="131"/>
      <c r="S641" s="131"/>
      <c r="T641" s="131"/>
      <c r="U641" s="131"/>
      <c r="V641" s="131"/>
      <c r="W641" s="131"/>
      <c r="X641" s="131"/>
      <c r="Y641" s="131"/>
      <c r="Z641" s="131"/>
      <c r="AA641" s="131"/>
      <c r="AB641" s="131"/>
      <c r="AC641" s="131"/>
    </row>
    <row r="642" spans="2:29" x14ac:dyDescent="0.2">
      <c r="B642" s="151"/>
      <c r="C642" s="152"/>
      <c r="H642" s="340"/>
      <c r="L642" s="131"/>
      <c r="M642" s="131"/>
      <c r="N642" s="131"/>
      <c r="O642" s="131"/>
      <c r="P642" s="131"/>
      <c r="Q642" s="131"/>
      <c r="R642" s="131"/>
      <c r="S642" s="131"/>
      <c r="T642" s="131"/>
      <c r="U642" s="131"/>
      <c r="V642" s="131"/>
      <c r="W642" s="131"/>
      <c r="X642" s="131"/>
      <c r="Y642" s="131"/>
      <c r="Z642" s="131"/>
      <c r="AA642" s="131"/>
      <c r="AB642" s="131"/>
      <c r="AC642" s="131"/>
    </row>
    <row r="643" spans="2:29" x14ac:dyDescent="0.2">
      <c r="B643" s="151"/>
      <c r="C643" s="152"/>
      <c r="H643" s="340"/>
      <c r="L643" s="131"/>
      <c r="M643" s="131"/>
      <c r="N643" s="131"/>
      <c r="O643" s="131"/>
      <c r="P643" s="131"/>
      <c r="Q643" s="131"/>
      <c r="R643" s="131"/>
      <c r="S643" s="131"/>
      <c r="T643" s="131"/>
      <c r="U643" s="131"/>
      <c r="V643" s="131"/>
      <c r="W643" s="131"/>
      <c r="X643" s="131"/>
      <c r="Y643" s="131"/>
      <c r="Z643" s="131"/>
      <c r="AA643" s="131"/>
      <c r="AB643" s="131"/>
      <c r="AC643" s="131"/>
    </row>
    <row r="644" spans="2:29" x14ac:dyDescent="0.2">
      <c r="B644" s="151"/>
      <c r="C644" s="152"/>
      <c r="H644" s="340"/>
      <c r="L644" s="131"/>
      <c r="M644" s="131"/>
      <c r="N644" s="131"/>
      <c r="O644" s="131"/>
      <c r="P644" s="131"/>
      <c r="Q644" s="131"/>
      <c r="R644" s="131"/>
      <c r="S644" s="131"/>
      <c r="T644" s="131"/>
      <c r="U644" s="131"/>
      <c r="V644" s="131"/>
      <c r="W644" s="131"/>
      <c r="X644" s="131"/>
      <c r="Y644" s="131"/>
      <c r="Z644" s="131"/>
      <c r="AA644" s="131"/>
      <c r="AB644" s="131"/>
      <c r="AC644" s="131"/>
    </row>
    <row r="645" spans="2:29" x14ac:dyDescent="0.2">
      <c r="B645" s="151"/>
      <c r="C645" s="152"/>
      <c r="H645" s="340"/>
      <c r="L645" s="131"/>
      <c r="M645" s="131"/>
      <c r="N645" s="131"/>
      <c r="O645" s="131"/>
      <c r="P645" s="131"/>
      <c r="Q645" s="131"/>
      <c r="R645" s="131"/>
      <c r="S645" s="131"/>
      <c r="T645" s="131"/>
      <c r="U645" s="131"/>
      <c r="V645" s="131"/>
      <c r="W645" s="131"/>
      <c r="X645" s="131"/>
      <c r="Y645" s="131"/>
      <c r="Z645" s="131"/>
      <c r="AA645" s="131"/>
      <c r="AB645" s="131"/>
      <c r="AC645" s="131"/>
    </row>
    <row r="646" spans="2:29" x14ac:dyDescent="0.2">
      <c r="B646" s="151"/>
      <c r="C646" s="152"/>
      <c r="H646" s="340"/>
      <c r="L646" s="131"/>
      <c r="M646" s="131"/>
      <c r="N646" s="131"/>
      <c r="O646" s="131"/>
      <c r="P646" s="131"/>
      <c r="Q646" s="131"/>
      <c r="R646" s="131"/>
      <c r="S646" s="131"/>
      <c r="T646" s="131"/>
      <c r="U646" s="131"/>
      <c r="V646" s="131"/>
      <c r="W646" s="131"/>
      <c r="X646" s="131"/>
      <c r="Y646" s="131"/>
      <c r="Z646" s="131"/>
      <c r="AA646" s="131"/>
      <c r="AB646" s="131"/>
      <c r="AC646" s="131"/>
    </row>
    <row r="647" spans="2:29" x14ac:dyDescent="0.2">
      <c r="B647" s="151"/>
      <c r="C647" s="152"/>
      <c r="H647" s="340"/>
      <c r="L647" s="131"/>
      <c r="M647" s="131"/>
      <c r="N647" s="131"/>
      <c r="O647" s="131"/>
      <c r="P647" s="131"/>
      <c r="Q647" s="131"/>
      <c r="R647" s="131"/>
      <c r="S647" s="131"/>
      <c r="T647" s="131"/>
      <c r="U647" s="131"/>
      <c r="V647" s="131"/>
      <c r="W647" s="131"/>
      <c r="X647" s="131"/>
      <c r="Y647" s="131"/>
      <c r="Z647" s="131"/>
      <c r="AA647" s="131"/>
      <c r="AB647" s="131"/>
      <c r="AC647" s="131"/>
    </row>
    <row r="648" spans="2:29" x14ac:dyDescent="0.2">
      <c r="B648" s="151"/>
      <c r="C648" s="152"/>
      <c r="H648" s="340"/>
      <c r="L648" s="131"/>
      <c r="M648" s="131"/>
      <c r="N648" s="131"/>
      <c r="O648" s="131"/>
      <c r="P648" s="131"/>
      <c r="Q648" s="131"/>
      <c r="R648" s="131"/>
      <c r="S648" s="131"/>
      <c r="T648" s="131"/>
      <c r="U648" s="131"/>
      <c r="V648" s="131"/>
      <c r="W648" s="131"/>
      <c r="X648" s="131"/>
      <c r="Y648" s="131"/>
      <c r="Z648" s="131"/>
      <c r="AA648" s="131"/>
      <c r="AB648" s="131"/>
      <c r="AC648" s="131"/>
    </row>
    <row r="649" spans="2:29" x14ac:dyDescent="0.2">
      <c r="B649" s="151"/>
      <c r="C649" s="152"/>
      <c r="H649" s="340"/>
      <c r="L649" s="131"/>
      <c r="M649" s="131"/>
      <c r="N649" s="131"/>
      <c r="O649" s="131"/>
      <c r="P649" s="131"/>
      <c r="Q649" s="131"/>
      <c r="R649" s="131"/>
      <c r="S649" s="131"/>
      <c r="T649" s="131"/>
      <c r="U649" s="131"/>
      <c r="V649" s="131"/>
      <c r="W649" s="131"/>
      <c r="X649" s="131"/>
      <c r="Y649" s="131"/>
      <c r="Z649" s="131"/>
      <c r="AA649" s="131"/>
      <c r="AB649" s="131"/>
      <c r="AC649" s="131"/>
    </row>
    <row r="650" spans="2:29" x14ac:dyDescent="0.2">
      <c r="B650" s="151"/>
      <c r="C650" s="152"/>
      <c r="H650" s="340"/>
      <c r="L650" s="131"/>
      <c r="M650" s="131"/>
      <c r="N650" s="131"/>
      <c r="O650" s="131"/>
      <c r="P650" s="131"/>
      <c r="Q650" s="131"/>
      <c r="R650" s="131"/>
      <c r="S650" s="131"/>
      <c r="T650" s="131"/>
      <c r="U650" s="131"/>
      <c r="V650" s="131"/>
      <c r="W650" s="131"/>
      <c r="X650" s="131"/>
      <c r="Y650" s="131"/>
      <c r="Z650" s="131"/>
      <c r="AA650" s="131"/>
      <c r="AB650" s="131"/>
      <c r="AC650" s="131"/>
    </row>
    <row r="651" spans="2:29" x14ac:dyDescent="0.2">
      <c r="B651" s="151"/>
      <c r="C651" s="152"/>
      <c r="H651" s="340"/>
      <c r="L651" s="131"/>
      <c r="M651" s="131"/>
      <c r="N651" s="131"/>
      <c r="O651" s="131"/>
      <c r="P651" s="131"/>
      <c r="Q651" s="131"/>
      <c r="R651" s="131"/>
      <c r="S651" s="131"/>
      <c r="T651" s="131"/>
      <c r="U651" s="131"/>
      <c r="V651" s="131"/>
      <c r="W651" s="131"/>
      <c r="X651" s="131"/>
      <c r="Y651" s="131"/>
      <c r="Z651" s="131"/>
      <c r="AA651" s="131"/>
      <c r="AB651" s="131"/>
      <c r="AC651" s="131"/>
    </row>
    <row r="652" spans="2:29" x14ac:dyDescent="0.2">
      <c r="B652" s="151"/>
      <c r="C652" s="152"/>
      <c r="H652" s="340"/>
      <c r="L652" s="131"/>
      <c r="M652" s="131"/>
      <c r="N652" s="131"/>
      <c r="O652" s="131"/>
      <c r="P652" s="131"/>
      <c r="Q652" s="131"/>
      <c r="R652" s="131"/>
      <c r="S652" s="131"/>
      <c r="T652" s="131"/>
      <c r="U652" s="131"/>
      <c r="V652" s="131"/>
      <c r="W652" s="131"/>
      <c r="X652" s="131"/>
      <c r="Y652" s="131"/>
      <c r="Z652" s="131"/>
      <c r="AA652" s="131"/>
      <c r="AB652" s="131"/>
      <c r="AC652" s="131"/>
    </row>
    <row r="653" spans="2:29" x14ac:dyDescent="0.2">
      <c r="B653" s="151"/>
      <c r="C653" s="152"/>
      <c r="H653" s="340"/>
      <c r="L653" s="131"/>
      <c r="M653" s="131"/>
      <c r="N653" s="131"/>
      <c r="O653" s="131"/>
      <c r="P653" s="131"/>
      <c r="Q653" s="131"/>
      <c r="R653" s="131"/>
      <c r="S653" s="131"/>
      <c r="T653" s="131"/>
      <c r="U653" s="131"/>
      <c r="V653" s="131"/>
      <c r="W653" s="131"/>
      <c r="X653" s="131"/>
      <c r="Y653" s="131"/>
      <c r="Z653" s="131"/>
      <c r="AA653" s="131"/>
      <c r="AB653" s="131"/>
      <c r="AC653" s="131"/>
    </row>
    <row r="654" spans="2:29" x14ac:dyDescent="0.2">
      <c r="B654" s="151"/>
      <c r="C654" s="152"/>
      <c r="H654" s="340"/>
      <c r="L654" s="131"/>
      <c r="M654" s="131"/>
      <c r="N654" s="131"/>
      <c r="O654" s="131"/>
      <c r="P654" s="131"/>
      <c r="Q654" s="131"/>
      <c r="R654" s="131"/>
      <c r="S654" s="131"/>
      <c r="T654" s="131"/>
      <c r="U654" s="131"/>
      <c r="V654" s="131"/>
      <c r="W654" s="131"/>
      <c r="X654" s="131"/>
      <c r="Y654" s="131"/>
      <c r="Z654" s="131"/>
      <c r="AA654" s="131"/>
      <c r="AB654" s="131"/>
      <c r="AC654" s="131"/>
    </row>
    <row r="655" spans="2:29" x14ac:dyDescent="0.2">
      <c r="B655" s="151"/>
      <c r="C655" s="152"/>
      <c r="H655" s="340"/>
      <c r="L655" s="131"/>
      <c r="M655" s="131"/>
      <c r="N655" s="131"/>
      <c r="O655" s="131"/>
      <c r="P655" s="131"/>
      <c r="Q655" s="131"/>
      <c r="R655" s="131"/>
      <c r="S655" s="131"/>
      <c r="T655" s="131"/>
      <c r="U655" s="131"/>
      <c r="V655" s="131"/>
      <c r="W655" s="131"/>
      <c r="X655" s="131"/>
      <c r="Y655" s="131"/>
      <c r="Z655" s="131"/>
      <c r="AA655" s="131"/>
      <c r="AB655" s="131"/>
      <c r="AC655" s="131"/>
    </row>
    <row r="656" spans="2:29" x14ac:dyDescent="0.2">
      <c r="B656" s="151"/>
      <c r="C656" s="152"/>
      <c r="H656" s="340"/>
      <c r="L656" s="131"/>
      <c r="M656" s="131"/>
      <c r="N656" s="131"/>
      <c r="O656" s="131"/>
      <c r="P656" s="131"/>
      <c r="Q656" s="131"/>
      <c r="R656" s="131"/>
      <c r="S656" s="131"/>
      <c r="T656" s="131"/>
      <c r="U656" s="131"/>
      <c r="V656" s="131"/>
      <c r="W656" s="131"/>
      <c r="X656" s="131"/>
      <c r="Y656" s="131"/>
      <c r="Z656" s="131"/>
      <c r="AA656" s="131"/>
      <c r="AB656" s="131"/>
      <c r="AC656" s="131"/>
    </row>
    <row r="657" spans="2:29" x14ac:dyDescent="0.2">
      <c r="B657" s="151"/>
      <c r="C657" s="152"/>
      <c r="H657" s="340"/>
      <c r="L657" s="131"/>
      <c r="M657" s="131"/>
      <c r="N657" s="131"/>
      <c r="O657" s="131"/>
      <c r="P657" s="131"/>
      <c r="Q657" s="131"/>
      <c r="R657" s="131"/>
      <c r="S657" s="131"/>
      <c r="T657" s="131"/>
      <c r="U657" s="131"/>
      <c r="V657" s="131"/>
      <c r="W657" s="131"/>
      <c r="X657" s="131"/>
      <c r="Y657" s="131"/>
      <c r="Z657" s="131"/>
      <c r="AA657" s="131"/>
      <c r="AB657" s="131"/>
      <c r="AC657" s="131"/>
    </row>
    <row r="658" spans="2:29" x14ac:dyDescent="0.2">
      <c r="B658" s="151"/>
      <c r="C658" s="152"/>
      <c r="H658" s="340"/>
      <c r="L658" s="131"/>
      <c r="M658" s="131"/>
      <c r="N658" s="131"/>
      <c r="O658" s="131"/>
      <c r="P658" s="131"/>
      <c r="Q658" s="131"/>
      <c r="R658" s="131"/>
      <c r="S658" s="131"/>
      <c r="T658" s="131"/>
      <c r="U658" s="131"/>
      <c r="V658" s="131"/>
      <c r="W658" s="131"/>
      <c r="X658" s="131"/>
      <c r="Y658" s="131"/>
      <c r="Z658" s="131"/>
      <c r="AA658" s="131"/>
      <c r="AB658" s="131"/>
      <c r="AC658" s="131"/>
    </row>
    <row r="659" spans="2:29" x14ac:dyDescent="0.2">
      <c r="B659" s="151"/>
      <c r="C659" s="152"/>
      <c r="H659" s="340"/>
      <c r="L659" s="131"/>
      <c r="M659" s="131"/>
      <c r="N659" s="131"/>
      <c r="O659" s="131"/>
      <c r="P659" s="131"/>
      <c r="Q659" s="131"/>
      <c r="R659" s="131"/>
      <c r="S659" s="131"/>
      <c r="T659" s="131"/>
      <c r="U659" s="131"/>
      <c r="V659" s="131"/>
      <c r="W659" s="131"/>
      <c r="X659" s="131"/>
      <c r="Y659" s="131"/>
      <c r="Z659" s="131"/>
      <c r="AA659" s="131"/>
      <c r="AB659" s="131"/>
      <c r="AC659" s="131"/>
    </row>
    <row r="660" spans="2:29" x14ac:dyDescent="0.2">
      <c r="B660" s="151"/>
      <c r="C660" s="152"/>
      <c r="H660" s="340"/>
      <c r="L660" s="131"/>
      <c r="M660" s="131"/>
      <c r="N660" s="131"/>
      <c r="O660" s="131"/>
      <c r="P660" s="131"/>
      <c r="Q660" s="131"/>
      <c r="R660" s="131"/>
      <c r="S660" s="131"/>
      <c r="T660" s="131"/>
      <c r="U660" s="131"/>
      <c r="V660" s="131"/>
      <c r="W660" s="131"/>
      <c r="X660" s="131"/>
      <c r="Y660" s="131"/>
      <c r="Z660" s="131"/>
      <c r="AA660" s="131"/>
      <c r="AB660" s="131"/>
      <c r="AC660" s="131"/>
    </row>
    <row r="661" spans="2:29" x14ac:dyDescent="0.2">
      <c r="B661" s="151"/>
      <c r="C661" s="152"/>
      <c r="H661" s="340"/>
      <c r="L661" s="131"/>
      <c r="M661" s="131"/>
      <c r="N661" s="131"/>
      <c r="O661" s="131"/>
      <c r="P661" s="131"/>
      <c r="Q661" s="131"/>
      <c r="R661" s="131"/>
      <c r="S661" s="131"/>
      <c r="T661" s="131"/>
      <c r="U661" s="131"/>
      <c r="V661" s="131"/>
      <c r="W661" s="131"/>
      <c r="X661" s="131"/>
      <c r="Y661" s="131"/>
      <c r="Z661" s="131"/>
      <c r="AA661" s="131"/>
      <c r="AB661" s="131"/>
      <c r="AC661" s="131"/>
    </row>
    <row r="662" spans="2:29" x14ac:dyDescent="0.2">
      <c r="B662" s="151"/>
      <c r="C662" s="152"/>
      <c r="H662" s="340"/>
      <c r="L662" s="131"/>
      <c r="M662" s="131"/>
      <c r="N662" s="131"/>
      <c r="O662" s="131"/>
      <c r="P662" s="131"/>
      <c r="Q662" s="131"/>
      <c r="R662" s="131"/>
      <c r="S662" s="131"/>
      <c r="T662" s="131"/>
      <c r="U662" s="131"/>
      <c r="V662" s="131"/>
      <c r="W662" s="131"/>
      <c r="X662" s="131"/>
      <c r="Y662" s="131"/>
      <c r="Z662" s="131"/>
      <c r="AA662" s="131"/>
      <c r="AB662" s="131"/>
      <c r="AC662" s="131"/>
    </row>
    <row r="663" spans="2:29" x14ac:dyDescent="0.2">
      <c r="B663" s="151"/>
      <c r="C663" s="152"/>
      <c r="H663" s="340"/>
      <c r="L663" s="131"/>
      <c r="M663" s="131"/>
      <c r="N663" s="131"/>
      <c r="O663" s="131"/>
      <c r="P663" s="131"/>
      <c r="Q663" s="131"/>
      <c r="R663" s="131"/>
      <c r="S663" s="131"/>
      <c r="T663" s="131"/>
      <c r="U663" s="131"/>
      <c r="V663" s="131"/>
      <c r="W663" s="131"/>
      <c r="X663" s="131"/>
      <c r="Y663" s="131"/>
      <c r="Z663" s="131"/>
      <c r="AA663" s="131"/>
      <c r="AB663" s="131"/>
      <c r="AC663" s="131"/>
    </row>
    <row r="664" spans="2:29" x14ac:dyDescent="0.2">
      <c r="B664" s="151"/>
      <c r="C664" s="152"/>
      <c r="H664" s="340"/>
      <c r="L664" s="131"/>
      <c r="M664" s="131"/>
      <c r="N664" s="131"/>
      <c r="O664" s="131"/>
      <c r="P664" s="131"/>
      <c r="Q664" s="131"/>
      <c r="R664" s="131"/>
      <c r="S664" s="131"/>
      <c r="T664" s="131"/>
      <c r="U664" s="131"/>
      <c r="V664" s="131"/>
      <c r="W664" s="131"/>
      <c r="X664" s="131"/>
      <c r="Y664" s="131"/>
      <c r="Z664" s="131"/>
      <c r="AA664" s="131"/>
      <c r="AB664" s="131"/>
      <c r="AC664" s="131"/>
    </row>
    <row r="665" spans="2:29" x14ac:dyDescent="0.2">
      <c r="B665" s="151"/>
      <c r="C665" s="152"/>
      <c r="H665" s="340"/>
      <c r="L665" s="131"/>
      <c r="M665" s="131"/>
      <c r="N665" s="131"/>
      <c r="O665" s="131"/>
      <c r="P665" s="131"/>
      <c r="Q665" s="131"/>
      <c r="R665" s="131"/>
      <c r="S665" s="131"/>
      <c r="T665" s="131"/>
      <c r="U665" s="131"/>
      <c r="V665" s="131"/>
      <c r="W665" s="131"/>
      <c r="X665" s="131"/>
      <c r="Y665" s="131"/>
      <c r="Z665" s="131"/>
      <c r="AA665" s="131"/>
      <c r="AB665" s="131"/>
      <c r="AC665" s="131"/>
    </row>
    <row r="666" spans="2:29" x14ac:dyDescent="0.2">
      <c r="B666" s="151"/>
      <c r="C666" s="152"/>
      <c r="H666" s="340"/>
      <c r="L666" s="131"/>
      <c r="M666" s="131"/>
      <c r="N666" s="131"/>
      <c r="O666" s="131"/>
      <c r="P666" s="131"/>
      <c r="Q666" s="131"/>
      <c r="R666" s="131"/>
      <c r="S666" s="131"/>
      <c r="T666" s="131"/>
      <c r="U666" s="131"/>
      <c r="V666" s="131"/>
      <c r="W666" s="131"/>
      <c r="X666" s="131"/>
      <c r="Y666" s="131"/>
      <c r="Z666" s="131"/>
      <c r="AA666" s="131"/>
      <c r="AB666" s="131"/>
      <c r="AC666" s="131"/>
    </row>
    <row r="667" spans="2:29" x14ac:dyDescent="0.2">
      <c r="B667" s="151"/>
      <c r="C667" s="152"/>
      <c r="H667" s="340"/>
      <c r="L667" s="131"/>
      <c r="M667" s="131"/>
      <c r="N667" s="131"/>
      <c r="O667" s="131"/>
      <c r="P667" s="131"/>
      <c r="Q667" s="131"/>
      <c r="R667" s="131"/>
      <c r="S667" s="131"/>
      <c r="T667" s="131"/>
      <c r="U667" s="131"/>
      <c r="V667" s="131"/>
      <c r="W667" s="131"/>
      <c r="X667" s="131"/>
      <c r="Y667" s="131"/>
      <c r="Z667" s="131"/>
      <c r="AA667" s="131"/>
      <c r="AB667" s="131"/>
      <c r="AC667" s="131"/>
    </row>
    <row r="668" spans="2:29" x14ac:dyDescent="0.2">
      <c r="B668" s="151"/>
      <c r="C668" s="152"/>
      <c r="H668" s="340"/>
      <c r="L668" s="131"/>
      <c r="M668" s="131"/>
      <c r="N668" s="131"/>
      <c r="O668" s="131"/>
      <c r="P668" s="131"/>
      <c r="Q668" s="131"/>
      <c r="R668" s="131"/>
      <c r="S668" s="131"/>
      <c r="T668" s="131"/>
      <c r="U668" s="131"/>
      <c r="V668" s="131"/>
      <c r="W668" s="131"/>
      <c r="X668" s="131"/>
      <c r="Y668" s="131"/>
      <c r="Z668" s="131"/>
      <c r="AA668" s="131"/>
      <c r="AB668" s="131"/>
      <c r="AC668" s="131"/>
    </row>
    <row r="669" spans="2:29" x14ac:dyDescent="0.2">
      <c r="B669" s="151"/>
      <c r="C669" s="152"/>
      <c r="H669" s="340"/>
      <c r="L669" s="131"/>
      <c r="M669" s="131"/>
      <c r="N669" s="131"/>
      <c r="O669" s="131"/>
      <c r="P669" s="131"/>
      <c r="Q669" s="131"/>
      <c r="R669" s="131"/>
      <c r="S669" s="131"/>
      <c r="T669" s="131"/>
      <c r="U669" s="131"/>
      <c r="V669" s="131"/>
      <c r="W669" s="131"/>
      <c r="X669" s="131"/>
      <c r="Y669" s="131"/>
      <c r="Z669" s="131"/>
      <c r="AA669" s="131"/>
      <c r="AB669" s="131"/>
      <c r="AC669" s="131"/>
    </row>
    <row r="670" spans="2:29" x14ac:dyDescent="0.2">
      <c r="B670" s="151"/>
      <c r="C670" s="152"/>
      <c r="H670" s="340"/>
      <c r="L670" s="131"/>
      <c r="M670" s="131"/>
      <c r="N670" s="131"/>
      <c r="O670" s="131"/>
      <c r="P670" s="131"/>
      <c r="Q670" s="131"/>
      <c r="R670" s="131"/>
      <c r="S670" s="131"/>
      <c r="T670" s="131"/>
      <c r="U670" s="131"/>
      <c r="V670" s="131"/>
      <c r="W670" s="131"/>
      <c r="X670" s="131"/>
      <c r="Y670" s="131"/>
      <c r="Z670" s="131"/>
      <c r="AA670" s="131"/>
      <c r="AB670" s="131"/>
      <c r="AC670" s="131"/>
    </row>
    <row r="671" spans="2:29" x14ac:dyDescent="0.2">
      <c r="B671" s="151"/>
      <c r="C671" s="152"/>
      <c r="H671" s="340"/>
      <c r="L671" s="131"/>
      <c r="M671" s="131"/>
      <c r="N671" s="131"/>
      <c r="O671" s="131"/>
      <c r="P671" s="131"/>
      <c r="Q671" s="131"/>
      <c r="R671" s="131"/>
      <c r="S671" s="131"/>
      <c r="T671" s="131"/>
      <c r="U671" s="131"/>
      <c r="V671" s="131"/>
      <c r="W671" s="131"/>
      <c r="X671" s="131"/>
      <c r="Y671" s="131"/>
      <c r="Z671" s="131"/>
      <c r="AA671" s="131"/>
      <c r="AB671" s="131"/>
      <c r="AC671" s="131"/>
    </row>
    <row r="672" spans="2:29" x14ac:dyDescent="0.2">
      <c r="B672" s="151"/>
      <c r="C672" s="152"/>
      <c r="H672" s="340"/>
      <c r="L672" s="131"/>
      <c r="M672" s="131"/>
      <c r="N672" s="131"/>
      <c r="O672" s="131"/>
      <c r="P672" s="131"/>
      <c r="Q672" s="131"/>
      <c r="R672" s="131"/>
      <c r="S672" s="131"/>
      <c r="T672" s="131"/>
      <c r="U672" s="131"/>
      <c r="V672" s="131"/>
      <c r="W672" s="131"/>
      <c r="X672" s="131"/>
      <c r="Y672" s="131"/>
      <c r="Z672" s="131"/>
      <c r="AA672" s="131"/>
      <c r="AB672" s="131"/>
      <c r="AC672" s="131"/>
    </row>
    <row r="673" spans="2:29" x14ac:dyDescent="0.2">
      <c r="B673" s="151"/>
      <c r="C673" s="152"/>
      <c r="H673" s="340"/>
      <c r="L673" s="131"/>
      <c r="M673" s="131"/>
      <c r="N673" s="131"/>
      <c r="O673" s="131"/>
      <c r="P673" s="131"/>
      <c r="Q673" s="131"/>
      <c r="R673" s="131"/>
      <c r="S673" s="131"/>
      <c r="T673" s="131"/>
      <c r="U673" s="131"/>
      <c r="V673" s="131"/>
      <c r="W673" s="131"/>
      <c r="X673" s="131"/>
      <c r="Y673" s="131"/>
      <c r="Z673" s="131"/>
      <c r="AA673" s="131"/>
      <c r="AB673" s="131"/>
      <c r="AC673" s="131"/>
    </row>
    <row r="674" spans="2:29" x14ac:dyDescent="0.2">
      <c r="B674" s="151"/>
      <c r="C674" s="152"/>
      <c r="H674" s="340"/>
      <c r="L674" s="131"/>
      <c r="M674" s="131"/>
      <c r="N674" s="131"/>
      <c r="O674" s="131"/>
      <c r="P674" s="131"/>
      <c r="Q674" s="131"/>
      <c r="R674" s="131"/>
      <c r="S674" s="131"/>
      <c r="T674" s="131"/>
      <c r="U674" s="131"/>
      <c r="V674" s="131"/>
      <c r="W674" s="131"/>
      <c r="X674" s="131"/>
      <c r="Y674" s="131"/>
      <c r="Z674" s="131"/>
      <c r="AA674" s="131"/>
      <c r="AB674" s="131"/>
      <c r="AC674" s="131"/>
    </row>
    <row r="675" spans="2:29" x14ac:dyDescent="0.2">
      <c r="B675" s="151"/>
      <c r="C675" s="152"/>
      <c r="H675" s="340"/>
      <c r="L675" s="131"/>
      <c r="M675" s="131"/>
      <c r="N675" s="131"/>
      <c r="O675" s="131"/>
      <c r="P675" s="131"/>
      <c r="Q675" s="131"/>
      <c r="R675" s="131"/>
      <c r="S675" s="131"/>
      <c r="T675" s="131"/>
      <c r="U675" s="131"/>
      <c r="V675" s="131"/>
      <c r="W675" s="131"/>
      <c r="X675" s="131"/>
      <c r="Y675" s="131"/>
      <c r="Z675" s="131"/>
      <c r="AA675" s="131"/>
      <c r="AB675" s="131"/>
      <c r="AC675" s="131"/>
    </row>
    <row r="676" spans="2:29" x14ac:dyDescent="0.2">
      <c r="B676" s="151"/>
      <c r="C676" s="152"/>
      <c r="H676" s="340"/>
      <c r="L676" s="131"/>
      <c r="M676" s="131"/>
      <c r="N676" s="131"/>
      <c r="O676" s="131"/>
      <c r="P676" s="131"/>
      <c r="Q676" s="131"/>
      <c r="R676" s="131"/>
      <c r="S676" s="131"/>
      <c r="T676" s="131"/>
      <c r="U676" s="131"/>
      <c r="V676" s="131"/>
      <c r="W676" s="131"/>
      <c r="X676" s="131"/>
      <c r="Y676" s="131"/>
      <c r="Z676" s="131"/>
      <c r="AA676" s="131"/>
      <c r="AB676" s="131"/>
      <c r="AC676" s="131"/>
    </row>
    <row r="677" spans="2:29" x14ac:dyDescent="0.2">
      <c r="B677" s="151"/>
      <c r="C677" s="152"/>
      <c r="H677" s="340"/>
      <c r="L677" s="131"/>
      <c r="M677" s="131"/>
      <c r="N677" s="131"/>
      <c r="O677" s="131"/>
      <c r="P677" s="131"/>
      <c r="Q677" s="131"/>
      <c r="R677" s="131"/>
      <c r="S677" s="131"/>
      <c r="T677" s="131"/>
      <c r="U677" s="131"/>
      <c r="V677" s="131"/>
      <c r="W677" s="131"/>
      <c r="X677" s="131"/>
      <c r="Y677" s="131"/>
      <c r="Z677" s="131"/>
      <c r="AA677" s="131"/>
      <c r="AB677" s="131"/>
      <c r="AC677" s="131"/>
    </row>
    <row r="678" spans="2:29" x14ac:dyDescent="0.2">
      <c r="B678" s="151"/>
      <c r="C678" s="152"/>
      <c r="H678" s="340"/>
      <c r="L678" s="131"/>
      <c r="M678" s="131"/>
      <c r="N678" s="131"/>
      <c r="O678" s="131"/>
      <c r="P678" s="131"/>
      <c r="Q678" s="131"/>
      <c r="R678" s="131"/>
      <c r="S678" s="131"/>
      <c r="T678" s="131"/>
      <c r="U678" s="131"/>
      <c r="V678" s="131"/>
      <c r="W678" s="131"/>
      <c r="X678" s="131"/>
      <c r="Y678" s="131"/>
      <c r="Z678" s="131"/>
      <c r="AA678" s="131"/>
      <c r="AB678" s="131"/>
      <c r="AC678" s="131"/>
    </row>
    <row r="679" spans="2:29" x14ac:dyDescent="0.2">
      <c r="B679" s="151"/>
      <c r="C679" s="152"/>
      <c r="H679" s="340"/>
      <c r="L679" s="131"/>
      <c r="M679" s="131"/>
      <c r="N679" s="131"/>
      <c r="O679" s="131"/>
      <c r="P679" s="131"/>
      <c r="Q679" s="131"/>
      <c r="R679" s="131"/>
      <c r="S679" s="131"/>
      <c r="T679" s="131"/>
      <c r="U679" s="131"/>
      <c r="V679" s="131"/>
      <c r="W679" s="131"/>
      <c r="X679" s="131"/>
      <c r="Y679" s="131"/>
      <c r="Z679" s="131"/>
      <c r="AA679" s="131"/>
      <c r="AB679" s="131"/>
      <c r="AC679" s="131"/>
    </row>
    <row r="680" spans="2:29" x14ac:dyDescent="0.2">
      <c r="B680" s="151"/>
      <c r="C680" s="152"/>
      <c r="H680" s="340"/>
      <c r="L680" s="131"/>
      <c r="M680" s="131"/>
      <c r="N680" s="131"/>
      <c r="O680" s="131"/>
      <c r="P680" s="131"/>
      <c r="Q680" s="131"/>
      <c r="R680" s="131"/>
      <c r="S680" s="131"/>
      <c r="T680" s="131"/>
      <c r="U680" s="131"/>
      <c r="V680" s="131"/>
      <c r="W680" s="131"/>
      <c r="X680" s="131"/>
      <c r="Y680" s="131"/>
      <c r="Z680" s="131"/>
      <c r="AA680" s="131"/>
      <c r="AB680" s="131"/>
      <c r="AC680" s="131"/>
    </row>
    <row r="681" spans="2:29" x14ac:dyDescent="0.2">
      <c r="B681" s="151"/>
      <c r="C681" s="152"/>
      <c r="H681" s="340"/>
      <c r="L681" s="131"/>
      <c r="M681" s="131"/>
      <c r="N681" s="131"/>
      <c r="O681" s="131"/>
      <c r="P681" s="131"/>
      <c r="Q681" s="131"/>
      <c r="R681" s="131"/>
      <c r="S681" s="131"/>
      <c r="T681" s="131"/>
      <c r="U681" s="131"/>
      <c r="V681" s="131"/>
      <c r="W681" s="131"/>
      <c r="X681" s="131"/>
      <c r="Y681" s="131"/>
      <c r="Z681" s="131"/>
      <c r="AA681" s="131"/>
      <c r="AB681" s="131"/>
      <c r="AC681" s="131"/>
    </row>
    <row r="682" spans="2:29" x14ac:dyDescent="0.2">
      <c r="B682" s="151"/>
      <c r="C682" s="152"/>
      <c r="H682" s="340"/>
      <c r="L682" s="131"/>
      <c r="M682" s="131"/>
      <c r="N682" s="131"/>
      <c r="O682" s="131"/>
      <c r="P682" s="131"/>
      <c r="Q682" s="131"/>
      <c r="R682" s="131"/>
      <c r="S682" s="131"/>
      <c r="T682" s="131"/>
      <c r="U682" s="131"/>
      <c r="V682" s="131"/>
      <c r="W682" s="131"/>
      <c r="X682" s="131"/>
      <c r="Y682" s="131"/>
      <c r="Z682" s="131"/>
      <c r="AA682" s="131"/>
      <c r="AB682" s="131"/>
      <c r="AC682" s="131"/>
    </row>
    <row r="683" spans="2:29" x14ac:dyDescent="0.2">
      <c r="B683" s="151"/>
      <c r="C683" s="152"/>
      <c r="H683" s="340"/>
      <c r="L683" s="131"/>
      <c r="M683" s="131"/>
      <c r="N683" s="131"/>
      <c r="O683" s="131"/>
      <c r="P683" s="131"/>
      <c r="Q683" s="131"/>
      <c r="R683" s="131"/>
      <c r="S683" s="131"/>
      <c r="T683" s="131"/>
      <c r="U683" s="131"/>
      <c r="V683" s="131"/>
      <c r="W683" s="131"/>
      <c r="X683" s="131"/>
      <c r="Y683" s="131"/>
      <c r="Z683" s="131"/>
      <c r="AA683" s="131"/>
      <c r="AB683" s="131"/>
      <c r="AC683" s="131"/>
    </row>
    <row r="684" spans="2:29" x14ac:dyDescent="0.2">
      <c r="B684" s="151"/>
      <c r="C684" s="152"/>
      <c r="H684" s="340"/>
      <c r="L684" s="131"/>
      <c r="M684" s="131"/>
      <c r="N684" s="131"/>
      <c r="O684" s="131"/>
      <c r="P684" s="131"/>
      <c r="Q684" s="131"/>
      <c r="R684" s="131"/>
      <c r="S684" s="131"/>
      <c r="T684" s="131"/>
      <c r="U684" s="131"/>
      <c r="V684" s="131"/>
      <c r="W684" s="131"/>
      <c r="X684" s="131"/>
      <c r="Y684" s="131"/>
      <c r="Z684" s="131"/>
      <c r="AA684" s="131"/>
      <c r="AB684" s="131"/>
      <c r="AC684" s="131"/>
    </row>
    <row r="685" spans="2:29" x14ac:dyDescent="0.2">
      <c r="B685" s="151"/>
      <c r="C685" s="152"/>
      <c r="H685" s="340"/>
      <c r="L685" s="131"/>
      <c r="M685" s="131"/>
      <c r="N685" s="131"/>
      <c r="O685" s="131"/>
      <c r="P685" s="131"/>
      <c r="Q685" s="131"/>
      <c r="R685" s="131"/>
      <c r="S685" s="131"/>
      <c r="T685" s="131"/>
      <c r="U685" s="131"/>
      <c r="V685" s="131"/>
      <c r="W685" s="131"/>
      <c r="X685" s="131"/>
      <c r="Y685" s="131"/>
      <c r="Z685" s="131"/>
      <c r="AA685" s="131"/>
      <c r="AB685" s="131"/>
      <c r="AC685" s="131"/>
    </row>
    <row r="686" spans="2:29" x14ac:dyDescent="0.2">
      <c r="B686" s="151"/>
      <c r="C686" s="152"/>
      <c r="H686" s="340"/>
      <c r="L686" s="131"/>
      <c r="M686" s="131"/>
      <c r="N686" s="131"/>
      <c r="O686" s="131"/>
      <c r="P686" s="131"/>
      <c r="Q686" s="131"/>
      <c r="R686" s="131"/>
      <c r="S686" s="131"/>
      <c r="T686" s="131"/>
      <c r="U686" s="131"/>
      <c r="V686" s="131"/>
      <c r="W686" s="131"/>
      <c r="X686" s="131"/>
      <c r="Y686" s="131"/>
      <c r="Z686" s="131"/>
      <c r="AA686" s="131"/>
      <c r="AB686" s="131"/>
      <c r="AC686" s="131"/>
    </row>
    <row r="687" spans="2:29" x14ac:dyDescent="0.2">
      <c r="B687" s="151"/>
      <c r="C687" s="152"/>
      <c r="H687" s="340"/>
      <c r="L687" s="131"/>
      <c r="M687" s="131"/>
      <c r="N687" s="131"/>
      <c r="O687" s="131"/>
      <c r="P687" s="131"/>
      <c r="Q687" s="131"/>
      <c r="R687" s="131"/>
      <c r="S687" s="131"/>
      <c r="T687" s="131"/>
      <c r="U687" s="131"/>
      <c r="V687" s="131"/>
      <c r="W687" s="131"/>
      <c r="X687" s="131"/>
      <c r="Y687" s="131"/>
      <c r="Z687" s="131"/>
      <c r="AA687" s="131"/>
      <c r="AB687" s="131"/>
      <c r="AC687" s="131"/>
    </row>
    <row r="688" spans="2:29" x14ac:dyDescent="0.2">
      <c r="B688" s="151"/>
      <c r="C688" s="152"/>
      <c r="H688" s="340"/>
      <c r="L688" s="131"/>
      <c r="M688" s="131"/>
      <c r="N688" s="131"/>
      <c r="O688" s="131"/>
      <c r="P688" s="131"/>
      <c r="Q688" s="131"/>
      <c r="R688" s="131"/>
      <c r="S688" s="131"/>
      <c r="T688" s="131"/>
      <c r="U688" s="131"/>
      <c r="V688" s="131"/>
      <c r="W688" s="131"/>
      <c r="X688" s="131"/>
      <c r="Y688" s="131"/>
      <c r="Z688" s="131"/>
      <c r="AA688" s="131"/>
      <c r="AB688" s="131"/>
      <c r="AC688" s="131"/>
    </row>
    <row r="689" spans="2:29" x14ac:dyDescent="0.2">
      <c r="B689" s="151"/>
      <c r="C689" s="152"/>
      <c r="H689" s="340"/>
      <c r="L689" s="131"/>
      <c r="M689" s="131"/>
      <c r="N689" s="131"/>
      <c r="O689" s="131"/>
      <c r="P689" s="131"/>
      <c r="Q689" s="131"/>
      <c r="R689" s="131"/>
      <c r="S689" s="131"/>
      <c r="T689" s="131"/>
      <c r="U689" s="131"/>
      <c r="V689" s="131"/>
      <c r="W689" s="131"/>
      <c r="X689" s="131"/>
      <c r="Y689" s="131"/>
      <c r="Z689" s="131"/>
      <c r="AA689" s="131"/>
      <c r="AB689" s="131"/>
      <c r="AC689" s="131"/>
    </row>
    <row r="690" spans="2:29" x14ac:dyDescent="0.2">
      <c r="B690" s="151"/>
      <c r="C690" s="152"/>
      <c r="H690" s="340"/>
      <c r="L690" s="131"/>
      <c r="M690" s="131"/>
      <c r="N690" s="131"/>
      <c r="O690" s="131"/>
      <c r="P690" s="131"/>
      <c r="Q690" s="131"/>
      <c r="R690" s="131"/>
      <c r="S690" s="131"/>
      <c r="T690" s="131"/>
      <c r="U690" s="131"/>
      <c r="V690" s="131"/>
      <c r="W690" s="131"/>
      <c r="X690" s="131"/>
      <c r="Y690" s="131"/>
      <c r="Z690" s="131"/>
      <c r="AA690" s="131"/>
      <c r="AB690" s="131"/>
      <c r="AC690" s="131"/>
    </row>
    <row r="691" spans="2:29" x14ac:dyDescent="0.2">
      <c r="B691" s="151"/>
      <c r="C691" s="152"/>
      <c r="H691" s="340"/>
      <c r="L691" s="131"/>
      <c r="M691" s="131"/>
      <c r="N691" s="131"/>
      <c r="O691" s="131"/>
      <c r="P691" s="131"/>
      <c r="Q691" s="131"/>
      <c r="R691" s="131"/>
      <c r="S691" s="131"/>
      <c r="T691" s="131"/>
      <c r="U691" s="131"/>
      <c r="V691" s="131"/>
      <c r="W691" s="131"/>
      <c r="X691" s="131"/>
      <c r="Y691" s="131"/>
      <c r="Z691" s="131"/>
      <c r="AA691" s="131"/>
      <c r="AB691" s="131"/>
      <c r="AC691" s="131"/>
    </row>
    <row r="692" spans="2:29" x14ac:dyDescent="0.2">
      <c r="B692" s="151"/>
      <c r="C692" s="152"/>
      <c r="H692" s="340"/>
      <c r="L692" s="131"/>
      <c r="M692" s="131"/>
      <c r="N692" s="131"/>
      <c r="O692" s="131"/>
      <c r="P692" s="131"/>
      <c r="Q692" s="131"/>
      <c r="R692" s="131"/>
      <c r="S692" s="131"/>
      <c r="T692" s="131"/>
      <c r="U692" s="131"/>
      <c r="V692" s="131"/>
      <c r="W692" s="131"/>
      <c r="X692" s="131"/>
      <c r="Y692" s="131"/>
      <c r="Z692" s="131"/>
      <c r="AA692" s="131"/>
      <c r="AB692" s="131"/>
      <c r="AC692" s="131"/>
    </row>
    <row r="693" spans="2:29" x14ac:dyDescent="0.2">
      <c r="B693" s="151"/>
      <c r="C693" s="152"/>
      <c r="H693" s="340"/>
      <c r="L693" s="131"/>
      <c r="M693" s="131"/>
      <c r="N693" s="131"/>
      <c r="O693" s="131"/>
      <c r="P693" s="131"/>
      <c r="Q693" s="131"/>
      <c r="R693" s="131"/>
      <c r="S693" s="131"/>
      <c r="T693" s="131"/>
      <c r="U693" s="131"/>
      <c r="V693" s="131"/>
      <c r="W693" s="131"/>
      <c r="X693" s="131"/>
      <c r="Y693" s="131"/>
      <c r="Z693" s="131"/>
      <c r="AA693" s="131"/>
      <c r="AB693" s="131"/>
      <c r="AC693" s="131"/>
    </row>
    <row r="694" spans="2:29" x14ac:dyDescent="0.2">
      <c r="B694" s="151"/>
      <c r="C694" s="152"/>
      <c r="H694" s="340"/>
      <c r="L694" s="131"/>
      <c r="M694" s="131"/>
      <c r="N694" s="131"/>
      <c r="O694" s="131"/>
      <c r="P694" s="131"/>
      <c r="Q694" s="131"/>
      <c r="R694" s="131"/>
      <c r="S694" s="131"/>
      <c r="T694" s="131"/>
      <c r="U694" s="131"/>
      <c r="V694" s="131"/>
      <c r="W694" s="131"/>
      <c r="X694" s="131"/>
      <c r="Y694" s="131"/>
      <c r="Z694" s="131"/>
      <c r="AA694" s="131"/>
      <c r="AB694" s="131"/>
      <c r="AC694" s="131"/>
    </row>
    <row r="695" spans="2:29" x14ac:dyDescent="0.2">
      <c r="B695" s="151"/>
      <c r="C695" s="152"/>
      <c r="H695" s="340"/>
      <c r="L695" s="131"/>
      <c r="M695" s="131"/>
      <c r="N695" s="131"/>
      <c r="O695" s="131"/>
      <c r="P695" s="131"/>
      <c r="Q695" s="131"/>
      <c r="R695" s="131"/>
      <c r="S695" s="131"/>
      <c r="T695" s="131"/>
      <c r="U695" s="131"/>
      <c r="V695" s="131"/>
      <c r="W695" s="131"/>
      <c r="X695" s="131"/>
      <c r="Y695" s="131"/>
      <c r="Z695" s="131"/>
      <c r="AA695" s="131"/>
      <c r="AB695" s="131"/>
      <c r="AC695" s="131"/>
    </row>
    <row r="696" spans="2:29" x14ac:dyDescent="0.2">
      <c r="B696" s="151"/>
      <c r="C696" s="152"/>
      <c r="H696" s="340"/>
      <c r="L696" s="131"/>
      <c r="M696" s="131"/>
      <c r="N696" s="131"/>
      <c r="O696" s="131"/>
      <c r="P696" s="131"/>
      <c r="Q696" s="131"/>
      <c r="R696" s="131"/>
      <c r="S696" s="131"/>
      <c r="T696" s="131"/>
      <c r="U696" s="131"/>
      <c r="V696" s="131"/>
      <c r="W696" s="131"/>
      <c r="X696" s="131"/>
      <c r="Y696" s="131"/>
      <c r="Z696" s="131"/>
      <c r="AA696" s="131"/>
      <c r="AB696" s="131"/>
      <c r="AC696" s="131"/>
    </row>
    <row r="697" spans="2:29" x14ac:dyDescent="0.2">
      <c r="B697" s="151"/>
      <c r="C697" s="152"/>
      <c r="H697" s="340"/>
      <c r="L697" s="131"/>
      <c r="M697" s="131"/>
      <c r="N697" s="131"/>
      <c r="O697" s="131"/>
      <c r="P697" s="131"/>
      <c r="Q697" s="131"/>
      <c r="R697" s="131"/>
      <c r="S697" s="131"/>
      <c r="T697" s="131"/>
      <c r="U697" s="131"/>
      <c r="V697" s="131"/>
      <c r="W697" s="131"/>
      <c r="X697" s="131"/>
      <c r="Y697" s="131"/>
      <c r="Z697" s="131"/>
      <c r="AA697" s="131"/>
      <c r="AB697" s="131"/>
      <c r="AC697" s="131"/>
    </row>
    <row r="698" spans="2:29" x14ac:dyDescent="0.2">
      <c r="B698" s="151"/>
      <c r="C698" s="152"/>
      <c r="H698" s="340"/>
      <c r="L698" s="131"/>
      <c r="M698" s="131"/>
      <c r="N698" s="131"/>
      <c r="O698" s="131"/>
      <c r="P698" s="131"/>
      <c r="Q698" s="131"/>
      <c r="R698" s="131"/>
      <c r="S698" s="131"/>
      <c r="T698" s="131"/>
      <c r="U698" s="131"/>
      <c r="V698" s="131"/>
      <c r="W698" s="131"/>
      <c r="X698" s="131"/>
      <c r="Y698" s="131"/>
      <c r="Z698" s="131"/>
      <c r="AA698" s="131"/>
      <c r="AB698" s="131"/>
      <c r="AC698" s="131"/>
    </row>
    <row r="699" spans="2:29" x14ac:dyDescent="0.2">
      <c r="B699" s="151"/>
      <c r="C699" s="152"/>
      <c r="H699" s="340"/>
      <c r="L699" s="131"/>
      <c r="M699" s="131"/>
      <c r="N699" s="131"/>
      <c r="O699" s="131"/>
      <c r="P699" s="131"/>
      <c r="Q699" s="131"/>
      <c r="R699" s="131"/>
      <c r="S699" s="131"/>
      <c r="T699" s="131"/>
      <c r="U699" s="131"/>
      <c r="V699" s="131"/>
      <c r="W699" s="131"/>
      <c r="X699" s="131"/>
      <c r="Y699" s="131"/>
      <c r="Z699" s="131"/>
      <c r="AA699" s="131"/>
      <c r="AB699" s="131"/>
      <c r="AC699" s="131"/>
    </row>
    <row r="700" spans="2:29" x14ac:dyDescent="0.2">
      <c r="B700" s="151"/>
      <c r="C700" s="152"/>
      <c r="H700" s="340"/>
      <c r="L700" s="131"/>
      <c r="M700" s="131"/>
      <c r="N700" s="131"/>
      <c r="O700" s="131"/>
      <c r="P700" s="131"/>
      <c r="Q700" s="131"/>
      <c r="R700" s="131"/>
      <c r="S700" s="131"/>
      <c r="T700" s="131"/>
      <c r="U700" s="131"/>
      <c r="V700" s="131"/>
      <c r="W700" s="131"/>
      <c r="X700" s="131"/>
      <c r="Y700" s="131"/>
      <c r="Z700" s="131"/>
      <c r="AA700" s="131"/>
      <c r="AB700" s="131"/>
      <c r="AC700" s="131"/>
    </row>
    <row r="701" spans="2:29" x14ac:dyDescent="0.2">
      <c r="B701" s="151"/>
      <c r="C701" s="152"/>
      <c r="H701" s="340"/>
      <c r="L701" s="131"/>
      <c r="M701" s="131"/>
      <c r="N701" s="131"/>
      <c r="O701" s="131"/>
      <c r="P701" s="131"/>
      <c r="Q701" s="131"/>
      <c r="R701" s="131"/>
      <c r="S701" s="131"/>
      <c r="T701" s="131"/>
      <c r="U701" s="131"/>
      <c r="V701" s="131"/>
      <c r="W701" s="131"/>
      <c r="X701" s="131"/>
      <c r="Y701" s="131"/>
      <c r="Z701" s="131"/>
      <c r="AA701" s="131"/>
      <c r="AB701" s="131"/>
      <c r="AC701" s="131"/>
    </row>
    <row r="702" spans="2:29" x14ac:dyDescent="0.2">
      <c r="B702" s="151"/>
      <c r="C702" s="152"/>
      <c r="H702" s="340"/>
      <c r="L702" s="131"/>
      <c r="M702" s="131"/>
      <c r="N702" s="131"/>
      <c r="O702" s="131"/>
      <c r="P702" s="131"/>
      <c r="Q702" s="131"/>
      <c r="R702" s="131"/>
      <c r="S702" s="131"/>
      <c r="T702" s="131"/>
      <c r="U702" s="131"/>
      <c r="V702" s="131"/>
      <c r="W702" s="131"/>
      <c r="X702" s="131"/>
      <c r="Y702" s="131"/>
      <c r="Z702" s="131"/>
      <c r="AA702" s="131"/>
      <c r="AB702" s="131"/>
      <c r="AC702" s="131"/>
    </row>
    <row r="703" spans="2:29" x14ac:dyDescent="0.2">
      <c r="B703" s="151"/>
      <c r="C703" s="152"/>
      <c r="H703" s="340"/>
      <c r="L703" s="131"/>
      <c r="M703" s="131"/>
      <c r="N703" s="131"/>
      <c r="O703" s="131"/>
      <c r="P703" s="131"/>
      <c r="Q703" s="131"/>
      <c r="R703" s="131"/>
      <c r="S703" s="131"/>
      <c r="T703" s="131"/>
      <c r="U703" s="131"/>
      <c r="V703" s="131"/>
      <c r="W703" s="131"/>
      <c r="X703" s="131"/>
      <c r="Y703" s="131"/>
      <c r="Z703" s="131"/>
      <c r="AA703" s="131"/>
      <c r="AB703" s="131"/>
      <c r="AC703" s="131"/>
    </row>
    <row r="704" spans="2:29" x14ac:dyDescent="0.2">
      <c r="B704" s="151"/>
      <c r="C704" s="152"/>
      <c r="H704" s="340"/>
      <c r="L704" s="131"/>
      <c r="M704" s="131"/>
      <c r="N704" s="131"/>
      <c r="O704" s="131"/>
      <c r="P704" s="131"/>
      <c r="Q704" s="131"/>
      <c r="R704" s="131"/>
      <c r="S704" s="131"/>
      <c r="T704" s="131"/>
      <c r="U704" s="131"/>
      <c r="V704" s="131"/>
      <c r="W704" s="131"/>
      <c r="X704" s="131"/>
      <c r="Y704" s="131"/>
      <c r="Z704" s="131"/>
      <c r="AA704" s="131"/>
      <c r="AB704" s="131"/>
      <c r="AC704" s="131"/>
    </row>
    <row r="705" spans="2:29" x14ac:dyDescent="0.2">
      <c r="B705" s="151"/>
      <c r="C705" s="152"/>
      <c r="H705" s="340"/>
      <c r="L705" s="131"/>
      <c r="M705" s="131"/>
      <c r="N705" s="131"/>
      <c r="O705" s="131"/>
      <c r="P705" s="131"/>
      <c r="Q705" s="131"/>
      <c r="R705" s="131"/>
      <c r="S705" s="131"/>
      <c r="T705" s="131"/>
      <c r="U705" s="131"/>
      <c r="V705" s="131"/>
      <c r="W705" s="131"/>
      <c r="X705" s="131"/>
      <c r="Y705" s="131"/>
      <c r="Z705" s="131"/>
      <c r="AA705" s="131"/>
      <c r="AB705" s="131"/>
      <c r="AC705" s="131"/>
    </row>
    <row r="706" spans="2:29" x14ac:dyDescent="0.2">
      <c r="B706" s="151"/>
      <c r="C706" s="152"/>
      <c r="H706" s="340"/>
      <c r="L706" s="131"/>
      <c r="M706" s="131"/>
      <c r="N706" s="131"/>
      <c r="O706" s="131"/>
      <c r="P706" s="131"/>
      <c r="Q706" s="131"/>
      <c r="R706" s="131"/>
      <c r="S706" s="131"/>
      <c r="T706" s="131"/>
      <c r="U706" s="131"/>
      <c r="V706" s="131"/>
      <c r="W706" s="131"/>
      <c r="X706" s="131"/>
      <c r="Y706" s="131"/>
      <c r="Z706" s="131"/>
      <c r="AA706" s="131"/>
      <c r="AB706" s="131"/>
      <c r="AC706" s="131"/>
    </row>
    <row r="707" spans="2:29" x14ac:dyDescent="0.2">
      <c r="B707" s="151"/>
      <c r="C707" s="152"/>
      <c r="H707" s="340"/>
      <c r="L707" s="131"/>
      <c r="M707" s="131"/>
      <c r="N707" s="131"/>
      <c r="O707" s="131"/>
      <c r="P707" s="131"/>
      <c r="Q707" s="131"/>
      <c r="R707" s="131"/>
      <c r="S707" s="131"/>
      <c r="T707" s="131"/>
      <c r="U707" s="131"/>
      <c r="V707" s="131"/>
      <c r="W707" s="131"/>
      <c r="X707" s="131"/>
      <c r="Y707" s="131"/>
      <c r="Z707" s="131"/>
      <c r="AA707" s="131"/>
      <c r="AB707" s="131"/>
      <c r="AC707" s="131"/>
    </row>
    <row r="708" spans="2:29" x14ac:dyDescent="0.2">
      <c r="B708" s="151"/>
      <c r="C708" s="152"/>
      <c r="H708" s="340"/>
      <c r="L708" s="131"/>
      <c r="M708" s="131"/>
      <c r="N708" s="131"/>
      <c r="O708" s="131"/>
      <c r="P708" s="131"/>
      <c r="Q708" s="131"/>
      <c r="R708" s="131"/>
      <c r="S708" s="131"/>
      <c r="T708" s="131"/>
      <c r="U708" s="131"/>
      <c r="V708" s="131"/>
      <c r="W708" s="131"/>
      <c r="X708" s="131"/>
      <c r="Y708" s="131"/>
      <c r="Z708" s="131"/>
      <c r="AA708" s="131"/>
      <c r="AB708" s="131"/>
      <c r="AC708" s="131"/>
    </row>
    <row r="709" spans="2:29" x14ac:dyDescent="0.2">
      <c r="B709" s="151"/>
      <c r="C709" s="152"/>
      <c r="H709" s="340"/>
      <c r="L709" s="131"/>
      <c r="M709" s="131"/>
      <c r="N709" s="131"/>
      <c r="O709" s="131"/>
      <c r="P709" s="131"/>
      <c r="Q709" s="131"/>
      <c r="R709" s="131"/>
      <c r="S709" s="131"/>
      <c r="T709" s="131"/>
      <c r="U709" s="131"/>
      <c r="V709" s="131"/>
      <c r="W709" s="131"/>
      <c r="X709" s="131"/>
      <c r="Y709" s="131"/>
      <c r="Z709" s="131"/>
      <c r="AA709" s="131"/>
      <c r="AB709" s="131"/>
      <c r="AC709" s="131"/>
    </row>
    <row r="710" spans="2:29" x14ac:dyDescent="0.2">
      <c r="B710" s="151"/>
      <c r="C710" s="152"/>
      <c r="H710" s="340"/>
      <c r="L710" s="131"/>
      <c r="M710" s="131"/>
      <c r="N710" s="131"/>
      <c r="O710" s="131"/>
      <c r="P710" s="131"/>
      <c r="Q710" s="131"/>
      <c r="R710" s="131"/>
      <c r="S710" s="131"/>
      <c r="T710" s="131"/>
      <c r="U710" s="131"/>
      <c r="V710" s="131"/>
      <c r="W710" s="131"/>
      <c r="X710" s="131"/>
      <c r="Y710" s="131"/>
      <c r="Z710" s="131"/>
      <c r="AA710" s="131"/>
      <c r="AB710" s="131"/>
      <c r="AC710" s="131"/>
    </row>
    <row r="711" spans="2:29" x14ac:dyDescent="0.2">
      <c r="B711" s="151"/>
      <c r="C711" s="152"/>
      <c r="H711" s="340"/>
      <c r="L711" s="131"/>
      <c r="M711" s="131"/>
      <c r="N711" s="131"/>
      <c r="O711" s="131"/>
      <c r="P711" s="131"/>
      <c r="Q711" s="131"/>
      <c r="R711" s="131"/>
      <c r="S711" s="131"/>
      <c r="T711" s="131"/>
      <c r="U711" s="131"/>
      <c r="V711" s="131"/>
      <c r="W711" s="131"/>
      <c r="X711" s="131"/>
      <c r="Y711" s="131"/>
      <c r="Z711" s="131"/>
      <c r="AA711" s="131"/>
      <c r="AB711" s="131"/>
      <c r="AC711" s="131"/>
    </row>
    <row r="712" spans="2:29" x14ac:dyDescent="0.2">
      <c r="B712" s="151"/>
      <c r="C712" s="152"/>
      <c r="H712" s="340"/>
      <c r="L712" s="131"/>
      <c r="M712" s="131"/>
      <c r="N712" s="131"/>
      <c r="O712" s="131"/>
      <c r="P712" s="131"/>
      <c r="Q712" s="131"/>
      <c r="R712" s="131"/>
      <c r="S712" s="131"/>
      <c r="T712" s="131"/>
      <c r="U712" s="131"/>
      <c r="V712" s="131"/>
      <c r="W712" s="131"/>
      <c r="X712" s="131"/>
      <c r="Y712" s="131"/>
      <c r="Z712" s="131"/>
      <c r="AA712" s="131"/>
      <c r="AB712" s="131"/>
      <c r="AC712" s="131"/>
    </row>
    <row r="713" spans="2:29" x14ac:dyDescent="0.2">
      <c r="B713" s="151"/>
      <c r="C713" s="152"/>
      <c r="H713" s="340"/>
      <c r="L713" s="131"/>
      <c r="M713" s="131"/>
      <c r="N713" s="131"/>
      <c r="O713" s="131"/>
      <c r="P713" s="131"/>
      <c r="Q713" s="131"/>
      <c r="R713" s="131"/>
      <c r="S713" s="131"/>
      <c r="T713" s="131"/>
      <c r="U713" s="131"/>
      <c r="V713" s="131"/>
      <c r="W713" s="131"/>
      <c r="X713" s="131"/>
      <c r="Y713" s="131"/>
      <c r="Z713" s="131"/>
      <c r="AA713" s="131"/>
      <c r="AB713" s="131"/>
      <c r="AC713" s="131"/>
    </row>
    <row r="714" spans="2:29" x14ac:dyDescent="0.2">
      <c r="B714" s="151"/>
      <c r="C714" s="152"/>
      <c r="H714" s="340"/>
      <c r="L714" s="131"/>
      <c r="M714" s="131"/>
      <c r="N714" s="131"/>
      <c r="O714" s="131"/>
      <c r="P714" s="131"/>
      <c r="Q714" s="131"/>
      <c r="R714" s="131"/>
      <c r="S714" s="131"/>
      <c r="T714" s="131"/>
      <c r="U714" s="131"/>
      <c r="V714" s="131"/>
      <c r="W714" s="131"/>
      <c r="X714" s="131"/>
      <c r="Y714" s="131"/>
      <c r="Z714" s="131"/>
      <c r="AA714" s="131"/>
      <c r="AB714" s="131"/>
      <c r="AC714" s="131"/>
    </row>
    <row r="715" spans="2:29" x14ac:dyDescent="0.2">
      <c r="B715" s="151"/>
      <c r="C715" s="152"/>
      <c r="H715" s="340"/>
      <c r="L715" s="131"/>
      <c r="M715" s="131"/>
      <c r="N715" s="131"/>
      <c r="O715" s="131"/>
      <c r="P715" s="131"/>
      <c r="Q715" s="131"/>
      <c r="R715" s="131"/>
      <c r="S715" s="131"/>
      <c r="T715" s="131"/>
      <c r="U715" s="131"/>
      <c r="V715" s="131"/>
      <c r="W715" s="131"/>
      <c r="X715" s="131"/>
      <c r="Y715" s="131"/>
      <c r="Z715" s="131"/>
      <c r="AA715" s="131"/>
      <c r="AB715" s="131"/>
      <c r="AC715" s="131"/>
    </row>
    <row r="716" spans="2:29" x14ac:dyDescent="0.2">
      <c r="B716" s="151"/>
      <c r="C716" s="152"/>
      <c r="H716" s="340"/>
      <c r="L716" s="131"/>
      <c r="M716" s="131"/>
      <c r="N716" s="131"/>
      <c r="O716" s="131"/>
      <c r="P716" s="131"/>
      <c r="Q716" s="131"/>
      <c r="R716" s="131"/>
      <c r="S716" s="131"/>
      <c r="T716" s="131"/>
      <c r="U716" s="131"/>
      <c r="V716" s="131"/>
      <c r="W716" s="131"/>
      <c r="X716" s="131"/>
      <c r="Y716" s="131"/>
      <c r="Z716" s="131"/>
      <c r="AA716" s="131"/>
      <c r="AB716" s="131"/>
      <c r="AC716" s="131"/>
    </row>
    <row r="717" spans="2:29" x14ac:dyDescent="0.2">
      <c r="B717" s="151"/>
      <c r="C717" s="152"/>
      <c r="H717" s="340"/>
      <c r="L717" s="131"/>
      <c r="M717" s="131"/>
      <c r="N717" s="131"/>
      <c r="O717" s="131"/>
      <c r="P717" s="131"/>
      <c r="Q717" s="131"/>
      <c r="R717" s="131"/>
      <c r="S717" s="131"/>
      <c r="T717" s="131"/>
      <c r="U717" s="131"/>
      <c r="V717" s="131"/>
      <c r="W717" s="131"/>
      <c r="X717" s="131"/>
      <c r="Y717" s="131"/>
      <c r="Z717" s="131"/>
      <c r="AA717" s="131"/>
      <c r="AB717" s="131"/>
      <c r="AC717" s="131"/>
    </row>
    <row r="718" spans="2:29" x14ac:dyDescent="0.2">
      <c r="B718" s="151"/>
      <c r="C718" s="152"/>
      <c r="H718" s="340"/>
      <c r="L718" s="131"/>
      <c r="M718" s="131"/>
      <c r="N718" s="131"/>
      <c r="O718" s="131"/>
      <c r="P718" s="131"/>
      <c r="Q718" s="131"/>
      <c r="R718" s="131"/>
      <c r="S718" s="131"/>
      <c r="T718" s="131"/>
      <c r="U718" s="131"/>
      <c r="V718" s="131"/>
      <c r="W718" s="131"/>
      <c r="X718" s="131"/>
      <c r="Y718" s="131"/>
      <c r="Z718" s="131"/>
      <c r="AA718" s="131"/>
      <c r="AB718" s="131"/>
      <c r="AC718" s="131"/>
    </row>
    <row r="719" spans="2:29" x14ac:dyDescent="0.2">
      <c r="B719" s="151"/>
      <c r="C719" s="152"/>
      <c r="H719" s="340"/>
      <c r="L719" s="131"/>
      <c r="M719" s="131"/>
      <c r="N719" s="131"/>
      <c r="O719" s="131"/>
      <c r="P719" s="131"/>
      <c r="Q719" s="131"/>
      <c r="R719" s="131"/>
      <c r="S719" s="131"/>
      <c r="T719" s="131"/>
      <c r="U719" s="131"/>
      <c r="V719" s="131"/>
      <c r="W719" s="131"/>
      <c r="X719" s="131"/>
      <c r="Y719" s="131"/>
      <c r="Z719" s="131"/>
      <c r="AA719" s="131"/>
      <c r="AB719" s="131"/>
      <c r="AC719" s="131"/>
    </row>
    <row r="720" spans="2:29" x14ac:dyDescent="0.2">
      <c r="B720" s="151"/>
      <c r="C720" s="152"/>
      <c r="H720" s="340"/>
      <c r="L720" s="131"/>
      <c r="M720" s="131"/>
      <c r="N720" s="131"/>
      <c r="O720" s="131"/>
      <c r="P720" s="131"/>
      <c r="Q720" s="131"/>
      <c r="R720" s="131"/>
      <c r="S720" s="131"/>
      <c r="T720" s="131"/>
      <c r="U720" s="131"/>
      <c r="V720" s="131"/>
      <c r="W720" s="131"/>
      <c r="X720" s="131"/>
      <c r="Y720" s="131"/>
      <c r="Z720" s="131"/>
      <c r="AA720" s="131"/>
      <c r="AB720" s="131"/>
      <c r="AC720" s="131"/>
    </row>
    <row r="721" spans="2:29" x14ac:dyDescent="0.2">
      <c r="B721" s="151"/>
      <c r="C721" s="152"/>
      <c r="H721" s="340"/>
      <c r="L721" s="131"/>
      <c r="M721" s="131"/>
      <c r="N721" s="131"/>
      <c r="O721" s="131"/>
      <c r="P721" s="131"/>
      <c r="Q721" s="131"/>
      <c r="R721" s="131"/>
      <c r="S721" s="131"/>
      <c r="T721" s="131"/>
      <c r="U721" s="131"/>
      <c r="V721" s="131"/>
      <c r="W721" s="131"/>
      <c r="X721" s="131"/>
      <c r="Y721" s="131"/>
      <c r="Z721" s="131"/>
      <c r="AA721" s="131"/>
      <c r="AB721" s="131"/>
      <c r="AC721" s="131"/>
    </row>
    <row r="722" spans="2:29" x14ac:dyDescent="0.2">
      <c r="B722" s="151"/>
      <c r="C722" s="152"/>
      <c r="H722" s="340"/>
      <c r="L722" s="131"/>
      <c r="M722" s="131"/>
      <c r="N722" s="131"/>
      <c r="O722" s="131"/>
      <c r="P722" s="131"/>
      <c r="Q722" s="131"/>
      <c r="R722" s="131"/>
      <c r="S722" s="131"/>
      <c r="T722" s="131"/>
      <c r="U722" s="131"/>
      <c r="V722" s="131"/>
      <c r="W722" s="131"/>
      <c r="X722" s="131"/>
      <c r="Y722" s="131"/>
      <c r="Z722" s="131"/>
      <c r="AA722" s="131"/>
      <c r="AB722" s="131"/>
      <c r="AC722" s="131"/>
    </row>
    <row r="723" spans="2:29" x14ac:dyDescent="0.2">
      <c r="B723" s="151"/>
      <c r="C723" s="152"/>
      <c r="H723" s="340"/>
      <c r="L723" s="131"/>
      <c r="M723" s="131"/>
      <c r="N723" s="131"/>
      <c r="O723" s="131"/>
      <c r="P723" s="131"/>
      <c r="Q723" s="131"/>
      <c r="R723" s="131"/>
      <c r="S723" s="131"/>
      <c r="T723" s="131"/>
      <c r="U723" s="131"/>
      <c r="V723" s="131"/>
      <c r="W723" s="131"/>
      <c r="X723" s="131"/>
      <c r="Y723" s="131"/>
      <c r="Z723" s="131"/>
      <c r="AA723" s="131"/>
      <c r="AB723" s="131"/>
      <c r="AC723" s="131"/>
    </row>
    <row r="724" spans="2:29" x14ac:dyDescent="0.2">
      <c r="B724" s="151"/>
      <c r="C724" s="152"/>
      <c r="H724" s="340"/>
      <c r="L724" s="131"/>
      <c r="M724" s="131"/>
      <c r="N724" s="131"/>
      <c r="O724" s="131"/>
      <c r="P724" s="131"/>
      <c r="Q724" s="131"/>
      <c r="R724" s="131"/>
      <c r="S724" s="131"/>
      <c r="T724" s="131"/>
      <c r="U724" s="131"/>
      <c r="V724" s="131"/>
      <c r="W724" s="131"/>
      <c r="X724" s="131"/>
      <c r="Y724" s="131"/>
      <c r="Z724" s="131"/>
      <c r="AA724" s="131"/>
      <c r="AB724" s="131"/>
      <c r="AC724" s="131"/>
    </row>
    <row r="725" spans="2:29" x14ac:dyDescent="0.2">
      <c r="B725" s="151"/>
      <c r="C725" s="152"/>
      <c r="H725" s="340"/>
      <c r="L725" s="131"/>
      <c r="M725" s="131"/>
      <c r="N725" s="131"/>
      <c r="O725" s="131"/>
      <c r="P725" s="131"/>
      <c r="Q725" s="131"/>
      <c r="R725" s="131"/>
      <c r="S725" s="131"/>
      <c r="T725" s="131"/>
      <c r="U725" s="131"/>
      <c r="V725" s="131"/>
      <c r="W725" s="131"/>
      <c r="X725" s="131"/>
      <c r="Y725" s="131"/>
      <c r="Z725" s="131"/>
      <c r="AA725" s="131"/>
      <c r="AB725" s="131"/>
      <c r="AC725" s="131"/>
    </row>
    <row r="726" spans="2:29" x14ac:dyDescent="0.2">
      <c r="B726" s="151"/>
      <c r="C726" s="152"/>
      <c r="H726" s="340"/>
      <c r="L726" s="131"/>
      <c r="M726" s="131"/>
      <c r="N726" s="131"/>
      <c r="O726" s="131"/>
      <c r="P726" s="131"/>
      <c r="Q726" s="131"/>
      <c r="R726" s="131"/>
      <c r="S726" s="131"/>
      <c r="T726" s="131"/>
      <c r="U726" s="131"/>
      <c r="V726" s="131"/>
      <c r="W726" s="131"/>
      <c r="X726" s="131"/>
      <c r="Y726" s="131"/>
      <c r="Z726" s="131"/>
      <c r="AA726" s="131"/>
      <c r="AB726" s="131"/>
      <c r="AC726" s="131"/>
    </row>
    <row r="727" spans="2:29" x14ac:dyDescent="0.2">
      <c r="B727" s="151"/>
      <c r="C727" s="152"/>
      <c r="H727" s="340"/>
      <c r="L727" s="131"/>
      <c r="M727" s="131"/>
      <c r="N727" s="131"/>
      <c r="O727" s="131"/>
      <c r="P727" s="131"/>
      <c r="Q727" s="131"/>
      <c r="R727" s="131"/>
      <c r="S727" s="131"/>
      <c r="T727" s="131"/>
      <c r="U727" s="131"/>
      <c r="V727" s="131"/>
      <c r="W727" s="131"/>
      <c r="X727" s="131"/>
      <c r="Y727" s="131"/>
      <c r="Z727" s="131"/>
      <c r="AA727" s="131"/>
      <c r="AB727" s="131"/>
      <c r="AC727" s="131"/>
    </row>
    <row r="728" spans="2:29" x14ac:dyDescent="0.2">
      <c r="B728" s="151"/>
      <c r="C728" s="152"/>
      <c r="H728" s="340"/>
      <c r="L728" s="131"/>
      <c r="M728" s="131"/>
      <c r="N728" s="131"/>
      <c r="O728" s="131"/>
      <c r="P728" s="131"/>
      <c r="Q728" s="131"/>
      <c r="R728" s="131"/>
      <c r="S728" s="131"/>
      <c r="T728" s="131"/>
      <c r="U728" s="131"/>
      <c r="V728" s="131"/>
      <c r="W728" s="131"/>
      <c r="X728" s="131"/>
      <c r="Y728" s="131"/>
      <c r="Z728" s="131"/>
      <c r="AA728" s="131"/>
      <c r="AB728" s="131"/>
      <c r="AC728" s="131"/>
    </row>
    <row r="729" spans="2:29" x14ac:dyDescent="0.2">
      <c r="B729" s="151"/>
      <c r="C729" s="152"/>
      <c r="H729" s="340"/>
      <c r="L729" s="131"/>
      <c r="M729" s="131"/>
      <c r="N729" s="131"/>
      <c r="O729" s="131"/>
      <c r="P729" s="131"/>
      <c r="Q729" s="131"/>
      <c r="R729" s="131"/>
      <c r="S729" s="131"/>
      <c r="T729" s="131"/>
      <c r="U729" s="131"/>
      <c r="V729" s="131"/>
      <c r="W729" s="131"/>
      <c r="X729" s="131"/>
      <c r="Y729" s="131"/>
      <c r="Z729" s="131"/>
      <c r="AA729" s="131"/>
      <c r="AB729" s="131"/>
      <c r="AC729" s="131"/>
    </row>
    <row r="730" spans="2:29" x14ac:dyDescent="0.2">
      <c r="B730" s="151"/>
      <c r="C730" s="152"/>
      <c r="H730" s="340"/>
      <c r="L730" s="131"/>
      <c r="M730" s="131"/>
      <c r="N730" s="131"/>
      <c r="O730" s="131"/>
      <c r="P730" s="131"/>
      <c r="Q730" s="131"/>
      <c r="R730" s="131"/>
      <c r="S730" s="131"/>
      <c r="T730" s="131"/>
      <c r="U730" s="131"/>
      <c r="V730" s="131"/>
      <c r="W730" s="131"/>
      <c r="X730" s="131"/>
      <c r="Y730" s="131"/>
      <c r="Z730" s="131"/>
      <c r="AA730" s="131"/>
      <c r="AB730" s="131"/>
      <c r="AC730" s="131"/>
    </row>
    <row r="731" spans="2:29" x14ac:dyDescent="0.2">
      <c r="B731" s="151"/>
      <c r="C731" s="152"/>
      <c r="H731" s="340"/>
      <c r="L731" s="131"/>
      <c r="M731" s="131"/>
      <c r="N731" s="131"/>
      <c r="O731" s="131"/>
      <c r="P731" s="131"/>
      <c r="Q731" s="131"/>
      <c r="R731" s="131"/>
      <c r="S731" s="131"/>
      <c r="T731" s="131"/>
      <c r="U731" s="131"/>
      <c r="V731" s="131"/>
      <c r="W731" s="131"/>
      <c r="X731" s="131"/>
      <c r="Y731" s="131"/>
      <c r="Z731" s="131"/>
      <c r="AA731" s="131"/>
      <c r="AB731" s="131"/>
      <c r="AC731" s="131"/>
    </row>
    <row r="732" spans="2:29" x14ac:dyDescent="0.2">
      <c r="B732" s="151"/>
      <c r="C732" s="152"/>
      <c r="H732" s="340"/>
      <c r="L732" s="131"/>
      <c r="M732" s="131"/>
      <c r="N732" s="131"/>
      <c r="O732" s="131"/>
      <c r="P732" s="131"/>
      <c r="Q732" s="131"/>
      <c r="R732" s="131"/>
      <c r="S732" s="131"/>
      <c r="T732" s="131"/>
      <c r="U732" s="131"/>
      <c r="V732" s="131"/>
      <c r="W732" s="131"/>
      <c r="X732" s="131"/>
      <c r="Y732" s="131"/>
      <c r="Z732" s="131"/>
      <c r="AA732" s="131"/>
      <c r="AB732" s="131"/>
      <c r="AC732" s="131"/>
    </row>
    <row r="733" spans="2:29" x14ac:dyDescent="0.2">
      <c r="B733" s="151"/>
      <c r="C733" s="152"/>
      <c r="H733" s="340"/>
      <c r="L733" s="131"/>
      <c r="M733" s="131"/>
      <c r="N733" s="131"/>
      <c r="O733" s="131"/>
      <c r="P733" s="131"/>
      <c r="Q733" s="131"/>
      <c r="R733" s="131"/>
      <c r="S733" s="131"/>
      <c r="T733" s="131"/>
      <c r="U733" s="131"/>
      <c r="V733" s="131"/>
      <c r="W733" s="131"/>
      <c r="X733" s="131"/>
      <c r="Y733" s="131"/>
      <c r="Z733" s="131"/>
      <c r="AA733" s="131"/>
      <c r="AB733" s="131"/>
      <c r="AC733" s="131"/>
    </row>
    <row r="734" spans="2:29" x14ac:dyDescent="0.2">
      <c r="B734" s="151"/>
      <c r="C734" s="152"/>
      <c r="H734" s="340"/>
      <c r="L734" s="131"/>
      <c r="M734" s="131"/>
      <c r="N734" s="131"/>
      <c r="O734" s="131"/>
      <c r="P734" s="131"/>
      <c r="Q734" s="131"/>
      <c r="R734" s="131"/>
      <c r="S734" s="131"/>
      <c r="T734" s="131"/>
      <c r="U734" s="131"/>
      <c r="V734" s="131"/>
      <c r="W734" s="131"/>
      <c r="X734" s="131"/>
      <c r="Y734" s="131"/>
      <c r="Z734" s="131"/>
      <c r="AA734" s="131"/>
      <c r="AB734" s="131"/>
      <c r="AC734" s="131"/>
    </row>
    <row r="735" spans="2:29" x14ac:dyDescent="0.2">
      <c r="B735" s="151"/>
      <c r="C735" s="152"/>
      <c r="H735" s="340"/>
      <c r="L735" s="131"/>
      <c r="M735" s="131"/>
      <c r="N735" s="131"/>
      <c r="O735" s="131"/>
      <c r="P735" s="131"/>
      <c r="Q735" s="131"/>
      <c r="R735" s="131"/>
      <c r="S735" s="131"/>
      <c r="T735" s="131"/>
      <c r="U735" s="131"/>
      <c r="V735" s="131"/>
      <c r="W735" s="131"/>
      <c r="X735" s="131"/>
      <c r="Y735" s="131"/>
      <c r="Z735" s="131"/>
      <c r="AA735" s="131"/>
      <c r="AB735" s="131"/>
      <c r="AC735" s="131"/>
    </row>
    <row r="736" spans="2:29" x14ac:dyDescent="0.2">
      <c r="B736" s="151"/>
      <c r="C736" s="152"/>
      <c r="H736" s="340"/>
      <c r="L736" s="131"/>
      <c r="M736" s="131"/>
      <c r="N736" s="131"/>
      <c r="O736" s="131"/>
      <c r="P736" s="131"/>
      <c r="Q736" s="131"/>
      <c r="R736" s="131"/>
      <c r="S736" s="131"/>
      <c r="T736" s="131"/>
      <c r="U736" s="131"/>
      <c r="V736" s="131"/>
      <c r="W736" s="131"/>
      <c r="X736" s="131"/>
      <c r="Y736" s="131"/>
      <c r="Z736" s="131"/>
      <c r="AA736" s="131"/>
      <c r="AB736" s="131"/>
      <c r="AC736" s="131"/>
    </row>
    <row r="737" spans="2:29" x14ac:dyDescent="0.2">
      <c r="B737" s="151"/>
      <c r="C737" s="152"/>
      <c r="H737" s="340"/>
      <c r="L737" s="131"/>
      <c r="M737" s="131"/>
      <c r="N737" s="131"/>
      <c r="O737" s="131"/>
      <c r="P737" s="131"/>
      <c r="Q737" s="131"/>
      <c r="R737" s="131"/>
      <c r="S737" s="131"/>
      <c r="T737" s="131"/>
      <c r="U737" s="131"/>
      <c r="V737" s="131"/>
      <c r="W737" s="131"/>
      <c r="X737" s="131"/>
      <c r="Y737" s="131"/>
      <c r="Z737" s="131"/>
      <c r="AA737" s="131"/>
      <c r="AB737" s="131"/>
      <c r="AC737" s="131"/>
    </row>
    <row r="738" spans="2:29" x14ac:dyDescent="0.2">
      <c r="B738" s="151"/>
      <c r="C738" s="152"/>
      <c r="H738" s="340"/>
      <c r="L738" s="131"/>
      <c r="M738" s="131"/>
      <c r="N738" s="131"/>
      <c r="O738" s="131"/>
      <c r="P738" s="131"/>
      <c r="Q738" s="131"/>
      <c r="R738" s="131"/>
      <c r="S738" s="131"/>
      <c r="T738" s="131"/>
      <c r="U738" s="131"/>
      <c r="V738" s="131"/>
      <c r="W738" s="131"/>
      <c r="X738" s="131"/>
      <c r="Y738" s="131"/>
      <c r="Z738" s="131"/>
      <c r="AA738" s="131"/>
      <c r="AB738" s="131"/>
      <c r="AC738" s="131"/>
    </row>
    <row r="739" spans="2:29" x14ac:dyDescent="0.2">
      <c r="B739" s="151"/>
      <c r="C739" s="152"/>
      <c r="H739" s="340"/>
      <c r="L739" s="131"/>
      <c r="M739" s="131"/>
      <c r="N739" s="131"/>
      <c r="O739" s="131"/>
      <c r="P739" s="131"/>
      <c r="Q739" s="131"/>
      <c r="R739" s="131"/>
      <c r="S739" s="131"/>
      <c r="T739" s="131"/>
      <c r="U739" s="131"/>
      <c r="V739" s="131"/>
      <c r="W739" s="131"/>
      <c r="X739" s="131"/>
      <c r="Y739" s="131"/>
      <c r="Z739" s="131"/>
      <c r="AA739" s="131"/>
      <c r="AB739" s="131"/>
      <c r="AC739" s="131"/>
    </row>
    <row r="740" spans="2:29" x14ac:dyDescent="0.2">
      <c r="B740" s="151"/>
      <c r="C740" s="152"/>
      <c r="H740" s="340"/>
      <c r="L740" s="131"/>
      <c r="M740" s="131"/>
      <c r="N740" s="131"/>
      <c r="O740" s="131"/>
      <c r="P740" s="131"/>
      <c r="Q740" s="131"/>
      <c r="R740" s="131"/>
      <c r="S740" s="131"/>
      <c r="T740" s="131"/>
      <c r="U740" s="131"/>
      <c r="V740" s="131"/>
      <c r="W740" s="131"/>
      <c r="X740" s="131"/>
      <c r="Y740" s="131"/>
      <c r="Z740" s="131"/>
      <c r="AA740" s="131"/>
      <c r="AB740" s="131"/>
      <c r="AC740" s="131"/>
    </row>
    <row r="741" spans="2:29" x14ac:dyDescent="0.2">
      <c r="B741" s="151"/>
      <c r="C741" s="152"/>
      <c r="H741" s="340"/>
      <c r="L741" s="131"/>
      <c r="M741" s="131"/>
      <c r="N741" s="131"/>
      <c r="O741" s="131"/>
      <c r="P741" s="131"/>
      <c r="Q741" s="131"/>
      <c r="R741" s="131"/>
      <c r="S741" s="131"/>
      <c r="T741" s="131"/>
      <c r="U741" s="131"/>
      <c r="V741" s="131"/>
      <c r="W741" s="131"/>
      <c r="X741" s="131"/>
      <c r="Y741" s="131"/>
      <c r="Z741" s="131"/>
      <c r="AA741" s="131"/>
      <c r="AB741" s="131"/>
      <c r="AC741" s="131"/>
    </row>
    <row r="742" spans="2:29" x14ac:dyDescent="0.2">
      <c r="B742" s="151"/>
      <c r="C742" s="152"/>
      <c r="H742" s="340"/>
      <c r="L742" s="131"/>
      <c r="M742" s="131"/>
      <c r="N742" s="131"/>
      <c r="O742" s="131"/>
      <c r="P742" s="131"/>
      <c r="Q742" s="131"/>
      <c r="R742" s="131"/>
      <c r="S742" s="131"/>
      <c r="T742" s="131"/>
      <c r="U742" s="131"/>
      <c r="V742" s="131"/>
      <c r="W742" s="131"/>
      <c r="X742" s="131"/>
      <c r="Y742" s="131"/>
      <c r="Z742" s="131"/>
      <c r="AA742" s="131"/>
      <c r="AB742" s="131"/>
      <c r="AC742" s="131"/>
    </row>
    <row r="743" spans="2:29" x14ac:dyDescent="0.2">
      <c r="B743" s="151"/>
      <c r="C743" s="152"/>
      <c r="H743" s="340"/>
      <c r="L743" s="131"/>
      <c r="M743" s="131"/>
      <c r="N743" s="131"/>
      <c r="O743" s="131"/>
      <c r="P743" s="131"/>
      <c r="Q743" s="131"/>
      <c r="R743" s="131"/>
      <c r="S743" s="131"/>
      <c r="T743" s="131"/>
      <c r="U743" s="131"/>
      <c r="V743" s="131"/>
      <c r="W743" s="131"/>
      <c r="X743" s="131"/>
      <c r="Y743" s="131"/>
      <c r="Z743" s="131"/>
      <c r="AA743" s="131"/>
      <c r="AB743" s="131"/>
      <c r="AC743" s="131"/>
    </row>
    <row r="744" spans="2:29" x14ac:dyDescent="0.2">
      <c r="B744" s="151"/>
      <c r="C744" s="152"/>
      <c r="H744" s="340"/>
      <c r="L744" s="131"/>
      <c r="M744" s="131"/>
      <c r="N744" s="131"/>
      <c r="O744" s="131"/>
      <c r="P744" s="131"/>
      <c r="Q744" s="131"/>
      <c r="R744" s="131"/>
      <c r="S744" s="131"/>
      <c r="T744" s="131"/>
      <c r="U744" s="131"/>
      <c r="V744" s="131"/>
      <c r="W744" s="131"/>
      <c r="X744" s="131"/>
      <c r="Y744" s="131"/>
      <c r="Z744" s="131"/>
      <c r="AA744" s="131"/>
      <c r="AB744" s="131"/>
      <c r="AC744" s="131"/>
    </row>
    <row r="745" spans="2:29" x14ac:dyDescent="0.2">
      <c r="B745" s="151"/>
      <c r="C745" s="152"/>
      <c r="H745" s="340"/>
      <c r="L745" s="131"/>
      <c r="M745" s="131"/>
      <c r="N745" s="131"/>
      <c r="O745" s="131"/>
      <c r="P745" s="131"/>
      <c r="Q745" s="131"/>
      <c r="R745" s="131"/>
      <c r="S745" s="131"/>
      <c r="T745" s="131"/>
      <c r="U745" s="131"/>
      <c r="V745" s="131"/>
      <c r="W745" s="131"/>
      <c r="X745" s="131"/>
      <c r="Y745" s="131"/>
      <c r="Z745" s="131"/>
      <c r="AA745" s="131"/>
      <c r="AB745" s="131"/>
      <c r="AC745" s="131"/>
    </row>
    <row r="746" spans="2:29" x14ac:dyDescent="0.2">
      <c r="B746" s="151"/>
      <c r="C746" s="152"/>
      <c r="H746" s="340"/>
      <c r="L746" s="131"/>
      <c r="M746" s="131"/>
      <c r="N746" s="131"/>
      <c r="O746" s="131"/>
      <c r="P746" s="131"/>
      <c r="Q746" s="131"/>
      <c r="R746" s="131"/>
      <c r="S746" s="131"/>
      <c r="T746" s="131"/>
      <c r="U746" s="131"/>
      <c r="V746" s="131"/>
      <c r="W746" s="131"/>
      <c r="X746" s="131"/>
      <c r="Y746" s="131"/>
      <c r="Z746" s="131"/>
      <c r="AA746" s="131"/>
      <c r="AB746" s="131"/>
      <c r="AC746" s="131"/>
    </row>
    <row r="747" spans="2:29" x14ac:dyDescent="0.2">
      <c r="B747" s="151"/>
      <c r="C747" s="152"/>
      <c r="H747" s="340"/>
      <c r="L747" s="131"/>
      <c r="M747" s="131"/>
      <c r="N747" s="131"/>
      <c r="O747" s="131"/>
      <c r="P747" s="131"/>
      <c r="Q747" s="131"/>
      <c r="R747" s="131"/>
      <c r="S747" s="131"/>
      <c r="T747" s="131"/>
      <c r="U747" s="131"/>
      <c r="V747" s="131"/>
      <c r="W747" s="131"/>
      <c r="X747" s="131"/>
      <c r="Y747" s="131"/>
      <c r="Z747" s="131"/>
      <c r="AA747" s="131"/>
      <c r="AB747" s="131"/>
      <c r="AC747" s="131"/>
    </row>
    <row r="748" spans="2:29" x14ac:dyDescent="0.2">
      <c r="B748" s="151"/>
      <c r="C748" s="152"/>
      <c r="H748" s="340"/>
      <c r="L748" s="131"/>
      <c r="M748" s="131"/>
      <c r="N748" s="131"/>
      <c r="O748" s="131"/>
      <c r="P748" s="131"/>
      <c r="Q748" s="131"/>
      <c r="R748" s="131"/>
      <c r="S748" s="131"/>
      <c r="T748" s="131"/>
      <c r="U748" s="131"/>
      <c r="V748" s="131"/>
      <c r="W748" s="131"/>
      <c r="X748" s="131"/>
      <c r="Y748" s="131"/>
      <c r="Z748" s="131"/>
      <c r="AA748" s="131"/>
      <c r="AB748" s="131"/>
      <c r="AC748" s="131"/>
    </row>
    <row r="749" spans="2:29" x14ac:dyDescent="0.2">
      <c r="B749" s="151"/>
      <c r="C749" s="152"/>
      <c r="H749" s="340"/>
      <c r="L749" s="131"/>
      <c r="M749" s="131"/>
      <c r="N749" s="131"/>
      <c r="O749" s="131"/>
      <c r="P749" s="131"/>
      <c r="Q749" s="131"/>
      <c r="R749" s="131"/>
      <c r="S749" s="131"/>
      <c r="T749" s="131"/>
      <c r="U749" s="131"/>
      <c r="V749" s="131"/>
      <c r="W749" s="131"/>
      <c r="X749" s="131"/>
      <c r="Y749" s="131"/>
      <c r="Z749" s="131"/>
      <c r="AA749" s="131"/>
      <c r="AB749" s="131"/>
      <c r="AC749" s="131"/>
    </row>
    <row r="750" spans="2:29" x14ac:dyDescent="0.2">
      <c r="B750" s="151"/>
      <c r="C750" s="152"/>
      <c r="H750" s="340"/>
      <c r="L750" s="131"/>
      <c r="M750" s="131"/>
      <c r="N750" s="131"/>
      <c r="O750" s="131"/>
      <c r="P750" s="131"/>
      <c r="Q750" s="131"/>
      <c r="R750" s="131"/>
      <c r="S750" s="131"/>
      <c r="T750" s="131"/>
      <c r="U750" s="131"/>
      <c r="V750" s="131"/>
      <c r="W750" s="131"/>
      <c r="X750" s="131"/>
      <c r="Y750" s="131"/>
      <c r="Z750" s="131"/>
      <c r="AA750" s="131"/>
      <c r="AB750" s="131"/>
      <c r="AC750" s="131"/>
    </row>
    <row r="751" spans="2:29" x14ac:dyDescent="0.2">
      <c r="B751" s="151"/>
      <c r="C751" s="152"/>
      <c r="H751" s="340"/>
      <c r="L751" s="131"/>
      <c r="M751" s="131"/>
      <c r="N751" s="131"/>
      <c r="O751" s="131"/>
      <c r="P751" s="131"/>
      <c r="Q751" s="131"/>
      <c r="R751" s="131"/>
      <c r="S751" s="131"/>
      <c r="T751" s="131"/>
      <c r="U751" s="131"/>
      <c r="V751" s="131"/>
      <c r="W751" s="131"/>
      <c r="X751" s="131"/>
      <c r="Y751" s="131"/>
      <c r="Z751" s="131"/>
      <c r="AA751" s="131"/>
      <c r="AB751" s="131"/>
      <c r="AC751" s="131"/>
    </row>
    <row r="752" spans="2:29" x14ac:dyDescent="0.2">
      <c r="B752" s="151"/>
      <c r="C752" s="152"/>
      <c r="H752" s="340"/>
      <c r="L752" s="131"/>
      <c r="M752" s="131"/>
      <c r="N752" s="131"/>
      <c r="O752" s="131"/>
      <c r="P752" s="131"/>
      <c r="Q752" s="131"/>
      <c r="R752" s="131"/>
      <c r="S752" s="131"/>
      <c r="T752" s="131"/>
      <c r="U752" s="131"/>
      <c r="V752" s="131"/>
      <c r="W752" s="131"/>
      <c r="X752" s="131"/>
      <c r="Y752" s="131"/>
      <c r="Z752" s="131"/>
      <c r="AA752" s="131"/>
      <c r="AB752" s="131"/>
      <c r="AC752" s="131"/>
    </row>
    <row r="753" spans="2:29" x14ac:dyDescent="0.2">
      <c r="B753" s="151"/>
      <c r="C753" s="152"/>
      <c r="H753" s="340"/>
      <c r="L753" s="131"/>
      <c r="M753" s="131"/>
      <c r="N753" s="131"/>
      <c r="O753" s="131"/>
      <c r="P753" s="131"/>
      <c r="Q753" s="131"/>
      <c r="R753" s="131"/>
      <c r="S753" s="131"/>
      <c r="T753" s="131"/>
      <c r="U753" s="131"/>
      <c r="V753" s="131"/>
      <c r="W753" s="131"/>
      <c r="X753" s="131"/>
      <c r="Y753" s="131"/>
      <c r="Z753" s="131"/>
      <c r="AA753" s="131"/>
      <c r="AB753" s="131"/>
      <c r="AC753" s="131"/>
    </row>
    <row r="754" spans="2:29" x14ac:dyDescent="0.2">
      <c r="B754" s="151"/>
      <c r="C754" s="152"/>
      <c r="H754" s="340"/>
      <c r="L754" s="131"/>
      <c r="M754" s="131"/>
      <c r="N754" s="131"/>
      <c r="O754" s="131"/>
      <c r="P754" s="131"/>
      <c r="Q754" s="131"/>
      <c r="R754" s="131"/>
      <c r="S754" s="131"/>
      <c r="T754" s="131"/>
      <c r="U754" s="131"/>
      <c r="V754" s="131"/>
      <c r="W754" s="131"/>
      <c r="X754" s="131"/>
      <c r="Y754" s="131"/>
      <c r="Z754" s="131"/>
      <c r="AA754" s="131"/>
      <c r="AB754" s="131"/>
      <c r="AC754" s="131"/>
    </row>
    <row r="755" spans="2:29" x14ac:dyDescent="0.2">
      <c r="B755" s="151"/>
      <c r="C755" s="152"/>
      <c r="H755" s="340"/>
      <c r="L755" s="131"/>
      <c r="M755" s="131"/>
      <c r="N755" s="131"/>
      <c r="O755" s="131"/>
      <c r="P755" s="131"/>
      <c r="Q755" s="131"/>
      <c r="R755" s="131"/>
      <c r="S755" s="131"/>
      <c r="T755" s="131"/>
      <c r="U755" s="131"/>
      <c r="V755" s="131"/>
      <c r="W755" s="131"/>
      <c r="X755" s="131"/>
      <c r="Y755" s="131"/>
      <c r="Z755" s="131"/>
      <c r="AA755" s="131"/>
      <c r="AB755" s="131"/>
      <c r="AC755" s="131"/>
    </row>
    <row r="756" spans="2:29" x14ac:dyDescent="0.2">
      <c r="B756" s="151"/>
      <c r="C756" s="152"/>
      <c r="H756" s="340"/>
      <c r="L756" s="131"/>
      <c r="M756" s="131"/>
      <c r="N756" s="131"/>
      <c r="O756" s="131"/>
      <c r="P756" s="131"/>
      <c r="Q756" s="131"/>
      <c r="R756" s="131"/>
      <c r="S756" s="131"/>
      <c r="T756" s="131"/>
      <c r="U756" s="131"/>
      <c r="V756" s="131"/>
      <c r="W756" s="131"/>
      <c r="X756" s="131"/>
      <c r="Y756" s="131"/>
      <c r="Z756" s="131"/>
      <c r="AA756" s="131"/>
      <c r="AB756" s="131"/>
      <c r="AC756" s="131"/>
    </row>
    <row r="757" spans="2:29" x14ac:dyDescent="0.2">
      <c r="B757" s="151"/>
      <c r="C757" s="152"/>
      <c r="H757" s="340"/>
      <c r="L757" s="131"/>
      <c r="M757" s="131"/>
      <c r="N757" s="131"/>
      <c r="O757" s="131"/>
      <c r="P757" s="131"/>
      <c r="Q757" s="131"/>
      <c r="R757" s="131"/>
      <c r="S757" s="131"/>
      <c r="T757" s="131"/>
      <c r="U757" s="131"/>
      <c r="V757" s="131"/>
      <c r="W757" s="131"/>
      <c r="X757" s="131"/>
      <c r="Y757" s="131"/>
      <c r="Z757" s="131"/>
      <c r="AA757" s="131"/>
      <c r="AB757" s="131"/>
      <c r="AC757" s="131"/>
    </row>
    <row r="758" spans="2:29" x14ac:dyDescent="0.2">
      <c r="B758" s="151"/>
      <c r="C758" s="152"/>
      <c r="H758" s="340"/>
      <c r="L758" s="131"/>
      <c r="M758" s="131"/>
      <c r="N758" s="131"/>
      <c r="O758" s="131"/>
      <c r="P758" s="131"/>
      <c r="Q758" s="131"/>
      <c r="R758" s="131"/>
      <c r="S758" s="131"/>
      <c r="T758" s="131"/>
      <c r="U758" s="131"/>
      <c r="V758" s="131"/>
      <c r="W758" s="131"/>
      <c r="X758" s="131"/>
      <c r="Y758" s="131"/>
      <c r="Z758" s="131"/>
      <c r="AA758" s="131"/>
      <c r="AB758" s="131"/>
      <c r="AC758" s="131"/>
    </row>
    <row r="759" spans="2:29" x14ac:dyDescent="0.2">
      <c r="B759" s="151"/>
      <c r="C759" s="152"/>
      <c r="H759" s="340"/>
      <c r="L759" s="131"/>
      <c r="M759" s="131"/>
      <c r="N759" s="131"/>
      <c r="O759" s="131"/>
      <c r="P759" s="131"/>
      <c r="Q759" s="131"/>
      <c r="R759" s="131"/>
      <c r="S759" s="131"/>
      <c r="T759" s="131"/>
      <c r="U759" s="131"/>
      <c r="V759" s="131"/>
      <c r="W759" s="131"/>
      <c r="X759" s="131"/>
      <c r="Y759" s="131"/>
      <c r="Z759" s="131"/>
      <c r="AA759" s="131"/>
      <c r="AB759" s="131"/>
      <c r="AC759" s="131"/>
    </row>
    <row r="760" spans="2:29" x14ac:dyDescent="0.2">
      <c r="B760" s="151"/>
      <c r="C760" s="152"/>
      <c r="H760" s="340"/>
      <c r="L760" s="131"/>
      <c r="M760" s="131"/>
      <c r="N760" s="131"/>
      <c r="O760" s="131"/>
      <c r="P760" s="131"/>
      <c r="Q760" s="131"/>
      <c r="R760" s="131"/>
      <c r="S760" s="131"/>
      <c r="T760" s="131"/>
      <c r="U760" s="131"/>
      <c r="V760" s="131"/>
      <c r="W760" s="131"/>
      <c r="X760" s="131"/>
      <c r="Y760" s="131"/>
      <c r="Z760" s="131"/>
      <c r="AA760" s="131"/>
      <c r="AB760" s="131"/>
      <c r="AC760" s="131"/>
    </row>
    <row r="761" spans="2:29" x14ac:dyDescent="0.2">
      <c r="B761" s="151"/>
      <c r="C761" s="152"/>
      <c r="H761" s="340"/>
      <c r="L761" s="131"/>
      <c r="M761" s="131"/>
      <c r="N761" s="131"/>
      <c r="O761" s="131"/>
      <c r="P761" s="131"/>
      <c r="Q761" s="131"/>
      <c r="R761" s="131"/>
      <c r="S761" s="131"/>
      <c r="T761" s="131"/>
      <c r="U761" s="131"/>
      <c r="V761" s="131"/>
      <c r="W761" s="131"/>
      <c r="X761" s="131"/>
      <c r="Y761" s="131"/>
      <c r="Z761" s="131"/>
      <c r="AA761" s="131"/>
      <c r="AB761" s="131"/>
      <c r="AC761" s="131"/>
    </row>
    <row r="762" spans="2:29" x14ac:dyDescent="0.2">
      <c r="B762" s="151"/>
      <c r="C762" s="152"/>
      <c r="H762" s="340"/>
      <c r="L762" s="131"/>
      <c r="M762" s="131"/>
      <c r="N762" s="131"/>
      <c r="O762" s="131"/>
      <c r="P762" s="131"/>
      <c r="Q762" s="131"/>
      <c r="R762" s="131"/>
      <c r="S762" s="131"/>
      <c r="T762" s="131"/>
      <c r="U762" s="131"/>
      <c r="V762" s="131"/>
      <c r="W762" s="131"/>
      <c r="X762" s="131"/>
      <c r="Y762" s="131"/>
      <c r="Z762" s="131"/>
      <c r="AA762" s="131"/>
      <c r="AB762" s="131"/>
      <c r="AC762" s="131"/>
    </row>
    <row r="763" spans="2:29" x14ac:dyDescent="0.2">
      <c r="B763" s="151"/>
      <c r="C763" s="152"/>
      <c r="H763" s="340"/>
      <c r="L763" s="131"/>
      <c r="M763" s="131"/>
      <c r="N763" s="131"/>
      <c r="O763" s="131"/>
      <c r="P763" s="131"/>
      <c r="Q763" s="131"/>
      <c r="R763" s="131"/>
      <c r="S763" s="131"/>
      <c r="T763" s="131"/>
      <c r="U763" s="131"/>
      <c r="V763" s="131"/>
      <c r="W763" s="131"/>
      <c r="X763" s="131"/>
      <c r="Y763" s="131"/>
      <c r="Z763" s="131"/>
      <c r="AA763" s="131"/>
      <c r="AB763" s="131"/>
      <c r="AC763" s="131"/>
    </row>
    <row r="764" spans="2:29" x14ac:dyDescent="0.2">
      <c r="B764" s="151"/>
      <c r="C764" s="152"/>
      <c r="H764" s="340"/>
      <c r="L764" s="131"/>
      <c r="M764" s="131"/>
      <c r="N764" s="131"/>
      <c r="O764" s="131"/>
      <c r="P764" s="131"/>
      <c r="Q764" s="131"/>
      <c r="R764" s="131"/>
      <c r="S764" s="131"/>
      <c r="T764" s="131"/>
      <c r="U764" s="131"/>
      <c r="V764" s="131"/>
      <c r="W764" s="131"/>
      <c r="X764" s="131"/>
      <c r="Y764" s="131"/>
      <c r="Z764" s="131"/>
      <c r="AA764" s="131"/>
      <c r="AB764" s="131"/>
      <c r="AC764" s="131"/>
    </row>
    <row r="765" spans="2:29" x14ac:dyDescent="0.2">
      <c r="B765" s="151"/>
      <c r="C765" s="152"/>
      <c r="H765" s="340"/>
      <c r="L765" s="131"/>
      <c r="M765" s="131"/>
      <c r="N765" s="131"/>
      <c r="O765" s="131"/>
      <c r="P765" s="131"/>
      <c r="Q765" s="131"/>
      <c r="R765" s="131"/>
      <c r="S765" s="131"/>
      <c r="T765" s="131"/>
      <c r="U765" s="131"/>
      <c r="V765" s="131"/>
      <c r="W765" s="131"/>
      <c r="X765" s="131"/>
      <c r="Y765" s="131"/>
      <c r="Z765" s="131"/>
      <c r="AA765" s="131"/>
      <c r="AB765" s="131"/>
      <c r="AC765" s="131"/>
    </row>
    <row r="766" spans="2:29" x14ac:dyDescent="0.2">
      <c r="B766" s="151"/>
      <c r="C766" s="152"/>
      <c r="H766" s="340"/>
      <c r="L766" s="131"/>
      <c r="M766" s="131"/>
      <c r="N766" s="131"/>
      <c r="O766" s="131"/>
      <c r="P766" s="131"/>
      <c r="Q766" s="131"/>
      <c r="R766" s="131"/>
      <c r="S766" s="131"/>
      <c r="T766" s="131"/>
      <c r="U766" s="131"/>
      <c r="V766" s="131"/>
      <c r="W766" s="131"/>
      <c r="X766" s="131"/>
      <c r="Y766" s="131"/>
      <c r="Z766" s="131"/>
      <c r="AA766" s="131"/>
      <c r="AB766" s="131"/>
      <c r="AC766" s="131"/>
    </row>
    <row r="767" spans="2:29" x14ac:dyDescent="0.2">
      <c r="B767" s="151"/>
      <c r="C767" s="152"/>
      <c r="H767" s="340"/>
      <c r="L767" s="131"/>
      <c r="M767" s="131"/>
      <c r="N767" s="131"/>
      <c r="O767" s="131"/>
      <c r="P767" s="131"/>
      <c r="Q767" s="131"/>
      <c r="R767" s="131"/>
      <c r="S767" s="131"/>
      <c r="T767" s="131"/>
      <c r="U767" s="131"/>
      <c r="V767" s="131"/>
      <c r="W767" s="131"/>
      <c r="X767" s="131"/>
      <c r="Y767" s="131"/>
      <c r="Z767" s="131"/>
      <c r="AA767" s="131"/>
      <c r="AB767" s="131"/>
      <c r="AC767" s="131"/>
    </row>
    <row r="768" spans="2:29" x14ac:dyDescent="0.2">
      <c r="B768" s="151"/>
      <c r="C768" s="152"/>
      <c r="H768" s="340"/>
      <c r="L768" s="131"/>
      <c r="M768" s="131"/>
      <c r="N768" s="131"/>
      <c r="O768" s="131"/>
      <c r="P768" s="131"/>
      <c r="Q768" s="131"/>
      <c r="R768" s="131"/>
      <c r="S768" s="131"/>
      <c r="T768" s="131"/>
      <c r="U768" s="131"/>
      <c r="V768" s="131"/>
      <c r="W768" s="131"/>
      <c r="X768" s="131"/>
      <c r="Y768" s="131"/>
      <c r="Z768" s="131"/>
      <c r="AA768" s="131"/>
      <c r="AB768" s="131"/>
      <c r="AC768" s="131"/>
    </row>
    <row r="769" spans="2:29" x14ac:dyDescent="0.2">
      <c r="B769" s="151"/>
      <c r="C769" s="152"/>
      <c r="H769" s="340"/>
      <c r="L769" s="131"/>
      <c r="M769" s="131"/>
      <c r="N769" s="131"/>
      <c r="O769" s="131"/>
      <c r="P769" s="131"/>
      <c r="Q769" s="131"/>
      <c r="R769" s="131"/>
      <c r="S769" s="131"/>
      <c r="T769" s="131"/>
      <c r="U769" s="131"/>
      <c r="V769" s="131"/>
      <c r="W769" s="131"/>
      <c r="X769" s="131"/>
      <c r="Y769" s="131"/>
      <c r="Z769" s="131"/>
      <c r="AA769" s="131"/>
      <c r="AB769" s="131"/>
      <c r="AC769" s="131"/>
    </row>
    <row r="770" spans="2:29" x14ac:dyDescent="0.2">
      <c r="B770" s="151"/>
      <c r="C770" s="152"/>
      <c r="H770" s="340"/>
      <c r="L770" s="131"/>
      <c r="M770" s="131"/>
      <c r="N770" s="131"/>
      <c r="O770" s="131"/>
      <c r="P770" s="131"/>
      <c r="Q770" s="131"/>
      <c r="R770" s="131"/>
      <c r="S770" s="131"/>
      <c r="T770" s="131"/>
      <c r="U770" s="131"/>
      <c r="V770" s="131"/>
      <c r="W770" s="131"/>
      <c r="X770" s="131"/>
      <c r="Y770" s="131"/>
      <c r="Z770" s="131"/>
      <c r="AA770" s="131"/>
      <c r="AB770" s="131"/>
      <c r="AC770" s="131"/>
    </row>
    <row r="771" spans="2:29" x14ac:dyDescent="0.2">
      <c r="B771" s="151"/>
      <c r="C771" s="152"/>
      <c r="H771" s="340"/>
      <c r="L771" s="131"/>
      <c r="M771" s="131"/>
      <c r="N771" s="131"/>
      <c r="O771" s="131"/>
      <c r="P771" s="131"/>
      <c r="Q771" s="131"/>
      <c r="R771" s="131"/>
      <c r="S771" s="131"/>
      <c r="T771" s="131"/>
      <c r="U771" s="131"/>
      <c r="V771" s="131"/>
      <c r="W771" s="131"/>
      <c r="X771" s="131"/>
      <c r="Y771" s="131"/>
      <c r="Z771" s="131"/>
      <c r="AA771" s="131"/>
      <c r="AB771" s="131"/>
      <c r="AC771" s="131"/>
    </row>
    <row r="772" spans="2:29" x14ac:dyDescent="0.2">
      <c r="B772" s="151"/>
      <c r="C772" s="152"/>
      <c r="H772" s="340"/>
      <c r="L772" s="131"/>
      <c r="M772" s="131"/>
      <c r="N772" s="131"/>
      <c r="O772" s="131"/>
      <c r="P772" s="131"/>
      <c r="Q772" s="131"/>
      <c r="R772" s="131"/>
      <c r="S772" s="131"/>
      <c r="T772" s="131"/>
      <c r="U772" s="131"/>
      <c r="V772" s="131"/>
      <c r="W772" s="131"/>
      <c r="X772" s="131"/>
      <c r="Y772" s="131"/>
      <c r="Z772" s="131"/>
      <c r="AA772" s="131"/>
      <c r="AB772" s="131"/>
      <c r="AC772" s="131"/>
    </row>
    <row r="773" spans="2:29" x14ac:dyDescent="0.2">
      <c r="B773" s="151"/>
      <c r="C773" s="152"/>
      <c r="H773" s="340"/>
      <c r="L773" s="131"/>
      <c r="M773" s="131"/>
      <c r="N773" s="131"/>
      <c r="O773" s="131"/>
      <c r="P773" s="131"/>
      <c r="Q773" s="131"/>
      <c r="R773" s="131"/>
      <c r="S773" s="131"/>
      <c r="T773" s="131"/>
      <c r="U773" s="131"/>
      <c r="V773" s="131"/>
      <c r="W773" s="131"/>
      <c r="X773" s="131"/>
      <c r="Y773" s="131"/>
      <c r="Z773" s="131"/>
      <c r="AA773" s="131"/>
      <c r="AB773" s="131"/>
      <c r="AC773" s="131"/>
    </row>
    <row r="774" spans="2:29" x14ac:dyDescent="0.2">
      <c r="B774" s="151"/>
      <c r="C774" s="152"/>
      <c r="H774" s="340"/>
      <c r="L774" s="131"/>
      <c r="M774" s="131"/>
      <c r="N774" s="131"/>
      <c r="O774" s="131"/>
      <c r="P774" s="131"/>
      <c r="Q774" s="131"/>
      <c r="R774" s="131"/>
      <c r="S774" s="131"/>
      <c r="T774" s="131"/>
      <c r="U774" s="131"/>
      <c r="V774" s="131"/>
      <c r="W774" s="131"/>
      <c r="X774" s="131"/>
      <c r="Y774" s="131"/>
      <c r="Z774" s="131"/>
      <c r="AA774" s="131"/>
      <c r="AB774" s="131"/>
      <c r="AC774" s="131"/>
    </row>
    <row r="775" spans="2:29" x14ac:dyDescent="0.2">
      <c r="B775" s="151"/>
      <c r="C775" s="152"/>
      <c r="H775" s="340"/>
      <c r="L775" s="131"/>
      <c r="M775" s="131"/>
      <c r="N775" s="131"/>
      <c r="O775" s="131"/>
      <c r="P775" s="131"/>
      <c r="Q775" s="131"/>
      <c r="R775" s="131"/>
      <c r="S775" s="131"/>
      <c r="T775" s="131"/>
      <c r="U775" s="131"/>
      <c r="V775" s="131"/>
      <c r="W775" s="131"/>
      <c r="X775" s="131"/>
      <c r="Y775" s="131"/>
      <c r="Z775" s="131"/>
      <c r="AA775" s="131"/>
      <c r="AB775" s="131"/>
      <c r="AC775" s="131"/>
    </row>
    <row r="776" spans="2:29" x14ac:dyDescent="0.2">
      <c r="B776" s="151"/>
      <c r="C776" s="152"/>
      <c r="H776" s="340"/>
      <c r="L776" s="131"/>
      <c r="M776" s="131"/>
      <c r="N776" s="131"/>
      <c r="O776" s="131"/>
      <c r="P776" s="131"/>
      <c r="Q776" s="131"/>
      <c r="R776" s="131"/>
      <c r="S776" s="131"/>
      <c r="T776" s="131"/>
      <c r="U776" s="131"/>
      <c r="V776" s="131"/>
      <c r="W776" s="131"/>
      <c r="X776" s="131"/>
      <c r="Y776" s="131"/>
      <c r="Z776" s="131"/>
      <c r="AA776" s="131"/>
      <c r="AB776" s="131"/>
      <c r="AC776" s="131"/>
    </row>
    <row r="777" spans="2:29" x14ac:dyDescent="0.2">
      <c r="B777" s="151"/>
      <c r="C777" s="152"/>
      <c r="H777" s="340"/>
      <c r="L777" s="131"/>
      <c r="M777" s="131"/>
      <c r="N777" s="131"/>
      <c r="O777" s="131"/>
      <c r="P777" s="131"/>
      <c r="Q777" s="131"/>
      <c r="R777" s="131"/>
      <c r="S777" s="131"/>
      <c r="T777" s="131"/>
      <c r="U777" s="131"/>
      <c r="V777" s="131"/>
      <c r="W777" s="131"/>
      <c r="X777" s="131"/>
      <c r="Y777" s="131"/>
      <c r="Z777" s="131"/>
      <c r="AA777" s="131"/>
      <c r="AB777" s="131"/>
      <c r="AC777" s="131"/>
    </row>
    <row r="778" spans="2:29" x14ac:dyDescent="0.2">
      <c r="B778" s="151"/>
      <c r="C778" s="152"/>
      <c r="H778" s="340"/>
      <c r="L778" s="131"/>
      <c r="M778" s="131"/>
      <c r="N778" s="131"/>
      <c r="O778" s="131"/>
      <c r="P778" s="131"/>
      <c r="Q778" s="131"/>
      <c r="R778" s="131"/>
      <c r="S778" s="131"/>
      <c r="T778" s="131"/>
      <c r="U778" s="131"/>
      <c r="V778" s="131"/>
      <c r="W778" s="131"/>
      <c r="X778" s="131"/>
      <c r="Y778" s="131"/>
      <c r="Z778" s="131"/>
      <c r="AA778" s="131"/>
      <c r="AB778" s="131"/>
      <c r="AC778" s="131"/>
    </row>
    <row r="779" spans="2:29" x14ac:dyDescent="0.2">
      <c r="B779" s="151"/>
      <c r="C779" s="152"/>
      <c r="H779" s="340"/>
      <c r="L779" s="131"/>
      <c r="M779" s="131"/>
      <c r="N779" s="131"/>
      <c r="O779" s="131"/>
      <c r="P779" s="131"/>
      <c r="Q779" s="131"/>
      <c r="R779" s="131"/>
      <c r="S779" s="131"/>
      <c r="T779" s="131"/>
      <c r="U779" s="131"/>
      <c r="V779" s="131"/>
      <c r="W779" s="131"/>
      <c r="X779" s="131"/>
      <c r="Y779" s="131"/>
      <c r="Z779" s="131"/>
      <c r="AA779" s="131"/>
      <c r="AB779" s="131"/>
      <c r="AC779" s="131"/>
    </row>
    <row r="780" spans="2:29" x14ac:dyDescent="0.2">
      <c r="B780" s="151"/>
      <c r="C780" s="152"/>
      <c r="H780" s="340"/>
      <c r="L780" s="131"/>
      <c r="M780" s="131"/>
      <c r="N780" s="131"/>
      <c r="O780" s="131"/>
      <c r="P780" s="131"/>
      <c r="Q780" s="131"/>
      <c r="R780" s="131"/>
      <c r="S780" s="131"/>
      <c r="T780" s="131"/>
      <c r="U780" s="131"/>
      <c r="V780" s="131"/>
      <c r="W780" s="131"/>
      <c r="X780" s="131"/>
      <c r="Y780" s="131"/>
      <c r="Z780" s="131"/>
      <c r="AA780" s="131"/>
      <c r="AB780" s="131"/>
      <c r="AC780" s="131"/>
    </row>
    <row r="781" spans="2:29" x14ac:dyDescent="0.2">
      <c r="B781" s="151"/>
      <c r="C781" s="152"/>
      <c r="H781" s="340"/>
      <c r="L781" s="131"/>
      <c r="M781" s="131"/>
      <c r="N781" s="131"/>
      <c r="O781" s="131"/>
      <c r="P781" s="131"/>
      <c r="Q781" s="131"/>
      <c r="R781" s="131"/>
      <c r="S781" s="131"/>
      <c r="T781" s="131"/>
      <c r="U781" s="131"/>
      <c r="V781" s="131"/>
      <c r="W781" s="131"/>
      <c r="X781" s="131"/>
      <c r="Y781" s="131"/>
      <c r="Z781" s="131"/>
      <c r="AA781" s="131"/>
      <c r="AB781" s="131"/>
      <c r="AC781" s="131"/>
    </row>
    <row r="782" spans="2:29" x14ac:dyDescent="0.2">
      <c r="B782" s="151"/>
      <c r="C782" s="152"/>
      <c r="H782" s="340"/>
      <c r="L782" s="131"/>
      <c r="M782" s="131"/>
      <c r="N782" s="131"/>
      <c r="O782" s="131"/>
      <c r="P782" s="131"/>
      <c r="Q782" s="131"/>
      <c r="R782" s="131"/>
      <c r="S782" s="131"/>
      <c r="T782" s="131"/>
      <c r="U782" s="131"/>
      <c r="V782" s="131"/>
      <c r="W782" s="131"/>
      <c r="X782" s="131"/>
      <c r="Y782" s="131"/>
      <c r="Z782" s="131"/>
      <c r="AA782" s="131"/>
      <c r="AB782" s="131"/>
      <c r="AC782" s="131"/>
    </row>
    <row r="783" spans="2:29" x14ac:dyDescent="0.2">
      <c r="B783" s="151"/>
      <c r="C783" s="152"/>
      <c r="H783" s="340"/>
      <c r="L783" s="131"/>
      <c r="M783" s="131"/>
      <c r="N783" s="131"/>
      <c r="O783" s="131"/>
      <c r="P783" s="131"/>
      <c r="Q783" s="131"/>
      <c r="R783" s="131"/>
      <c r="S783" s="131"/>
      <c r="T783" s="131"/>
      <c r="U783" s="131"/>
      <c r="V783" s="131"/>
      <c r="W783" s="131"/>
      <c r="X783" s="131"/>
      <c r="Y783" s="131"/>
      <c r="Z783" s="131"/>
      <c r="AA783" s="131"/>
      <c r="AB783" s="131"/>
      <c r="AC783" s="131"/>
    </row>
    <row r="784" spans="2:29" x14ac:dyDescent="0.2">
      <c r="B784" s="151"/>
      <c r="C784" s="152"/>
      <c r="H784" s="340"/>
      <c r="L784" s="131"/>
      <c r="M784" s="131"/>
      <c r="N784" s="131"/>
      <c r="O784" s="131"/>
      <c r="P784" s="131"/>
      <c r="Q784" s="131"/>
      <c r="R784" s="131"/>
      <c r="S784" s="131"/>
      <c r="T784" s="131"/>
      <c r="U784" s="131"/>
      <c r="V784" s="131"/>
      <c r="W784" s="131"/>
      <c r="X784" s="131"/>
      <c r="Y784" s="131"/>
      <c r="Z784" s="131"/>
      <c r="AA784" s="131"/>
      <c r="AB784" s="131"/>
      <c r="AC784" s="131"/>
    </row>
    <row r="785" spans="2:29" x14ac:dyDescent="0.2">
      <c r="B785" s="151"/>
      <c r="C785" s="152"/>
      <c r="H785" s="340"/>
      <c r="L785" s="131"/>
      <c r="M785" s="131"/>
      <c r="N785" s="131"/>
      <c r="O785" s="131"/>
      <c r="P785" s="131"/>
      <c r="Q785" s="131"/>
      <c r="R785" s="131"/>
      <c r="S785" s="131"/>
      <c r="T785" s="131"/>
      <c r="U785" s="131"/>
      <c r="V785" s="131"/>
      <c r="W785" s="131"/>
      <c r="X785" s="131"/>
      <c r="Y785" s="131"/>
      <c r="Z785" s="131"/>
      <c r="AA785" s="131"/>
      <c r="AB785" s="131"/>
      <c r="AC785" s="131"/>
    </row>
    <row r="786" spans="2:29" x14ac:dyDescent="0.2">
      <c r="B786" s="151"/>
      <c r="C786" s="152"/>
      <c r="H786" s="340"/>
      <c r="L786" s="131"/>
      <c r="M786" s="131"/>
      <c r="N786" s="131"/>
      <c r="O786" s="131"/>
      <c r="P786" s="131"/>
      <c r="Q786" s="131"/>
      <c r="R786" s="131"/>
      <c r="S786" s="131"/>
      <c r="T786" s="131"/>
      <c r="U786" s="131"/>
      <c r="V786" s="131"/>
      <c r="W786" s="131"/>
      <c r="X786" s="131"/>
      <c r="Y786" s="131"/>
      <c r="Z786" s="131"/>
      <c r="AA786" s="131"/>
      <c r="AB786" s="131"/>
      <c r="AC786" s="131"/>
    </row>
    <row r="787" spans="2:29" x14ac:dyDescent="0.2">
      <c r="B787" s="151"/>
      <c r="C787" s="152"/>
      <c r="H787" s="340"/>
      <c r="L787" s="131"/>
      <c r="M787" s="131"/>
      <c r="N787" s="131"/>
      <c r="O787" s="131"/>
      <c r="P787" s="131"/>
      <c r="Q787" s="131"/>
      <c r="R787" s="131"/>
      <c r="S787" s="131"/>
      <c r="T787" s="131"/>
      <c r="U787" s="131"/>
      <c r="V787" s="131"/>
      <c r="W787" s="131"/>
      <c r="X787" s="131"/>
      <c r="Y787" s="131"/>
      <c r="Z787" s="131"/>
      <c r="AA787" s="131"/>
      <c r="AB787" s="131"/>
      <c r="AC787" s="131"/>
    </row>
    <row r="788" spans="2:29" x14ac:dyDescent="0.2">
      <c r="B788" s="151"/>
      <c r="C788" s="152"/>
      <c r="H788" s="340"/>
      <c r="L788" s="131"/>
      <c r="M788" s="131"/>
      <c r="N788" s="131"/>
      <c r="O788" s="131"/>
      <c r="P788" s="131"/>
      <c r="Q788" s="131"/>
      <c r="R788" s="131"/>
      <c r="S788" s="131"/>
      <c r="T788" s="131"/>
      <c r="U788" s="131"/>
      <c r="V788" s="131"/>
      <c r="W788" s="131"/>
      <c r="X788" s="131"/>
      <c r="Y788" s="131"/>
      <c r="Z788" s="131"/>
      <c r="AA788" s="131"/>
      <c r="AB788" s="131"/>
      <c r="AC788" s="131"/>
    </row>
    <row r="789" spans="2:29" x14ac:dyDescent="0.2">
      <c r="B789" s="151"/>
      <c r="C789" s="152"/>
      <c r="H789" s="340"/>
      <c r="L789" s="131"/>
      <c r="M789" s="131"/>
      <c r="N789" s="131"/>
      <c r="O789" s="131"/>
      <c r="P789" s="131"/>
      <c r="Q789" s="131"/>
      <c r="R789" s="131"/>
      <c r="S789" s="131"/>
      <c r="T789" s="131"/>
      <c r="U789" s="131"/>
      <c r="V789" s="131"/>
      <c r="W789" s="131"/>
      <c r="X789" s="131"/>
      <c r="Y789" s="131"/>
      <c r="Z789" s="131"/>
      <c r="AA789" s="131"/>
      <c r="AB789" s="131"/>
      <c r="AC789" s="131"/>
    </row>
    <row r="790" spans="2:29" x14ac:dyDescent="0.2">
      <c r="B790" s="151"/>
      <c r="C790" s="152"/>
      <c r="H790" s="340"/>
      <c r="L790" s="131"/>
      <c r="M790" s="131"/>
      <c r="N790" s="131"/>
      <c r="O790" s="131"/>
      <c r="P790" s="131"/>
      <c r="Q790" s="131"/>
      <c r="R790" s="131"/>
      <c r="S790" s="131"/>
      <c r="T790" s="131"/>
      <c r="U790" s="131"/>
      <c r="V790" s="131"/>
      <c r="W790" s="131"/>
      <c r="X790" s="131"/>
      <c r="Y790" s="131"/>
      <c r="Z790" s="131"/>
      <c r="AA790" s="131"/>
      <c r="AB790" s="131"/>
      <c r="AC790" s="131"/>
    </row>
    <row r="791" spans="2:29" x14ac:dyDescent="0.2">
      <c r="B791" s="151"/>
      <c r="C791" s="152"/>
      <c r="H791" s="340"/>
      <c r="L791" s="131"/>
      <c r="M791" s="131"/>
      <c r="N791" s="131"/>
      <c r="O791" s="131"/>
      <c r="P791" s="131"/>
      <c r="Q791" s="131"/>
      <c r="R791" s="131"/>
      <c r="S791" s="131"/>
      <c r="T791" s="131"/>
      <c r="U791" s="131"/>
      <c r="V791" s="131"/>
      <c r="W791" s="131"/>
      <c r="X791" s="131"/>
      <c r="Y791" s="131"/>
      <c r="Z791" s="131"/>
      <c r="AA791" s="131"/>
      <c r="AB791" s="131"/>
      <c r="AC791" s="131"/>
    </row>
    <row r="792" spans="2:29" x14ac:dyDescent="0.2">
      <c r="B792" s="151"/>
      <c r="C792" s="152"/>
      <c r="H792" s="340"/>
      <c r="L792" s="131"/>
      <c r="M792" s="131"/>
      <c r="N792" s="131"/>
      <c r="O792" s="131"/>
      <c r="P792" s="131"/>
      <c r="Q792" s="131"/>
      <c r="R792" s="131"/>
      <c r="S792" s="131"/>
      <c r="T792" s="131"/>
      <c r="U792" s="131"/>
      <c r="V792" s="131"/>
      <c r="W792" s="131"/>
      <c r="X792" s="131"/>
      <c r="Y792" s="131"/>
      <c r="Z792" s="131"/>
      <c r="AA792" s="131"/>
      <c r="AB792" s="131"/>
      <c r="AC792" s="131"/>
    </row>
    <row r="793" spans="2:29" x14ac:dyDescent="0.2">
      <c r="B793" s="151"/>
      <c r="C793" s="152"/>
      <c r="H793" s="340"/>
      <c r="L793" s="131"/>
      <c r="M793" s="131"/>
      <c r="N793" s="131"/>
      <c r="O793" s="131"/>
      <c r="P793" s="131"/>
      <c r="Q793" s="131"/>
      <c r="R793" s="131"/>
      <c r="S793" s="131"/>
      <c r="T793" s="131"/>
      <c r="U793" s="131"/>
      <c r="V793" s="131"/>
      <c r="W793" s="131"/>
      <c r="X793" s="131"/>
      <c r="Y793" s="131"/>
      <c r="Z793" s="131"/>
      <c r="AA793" s="131"/>
      <c r="AB793" s="131"/>
      <c r="AC793" s="131"/>
    </row>
    <row r="794" spans="2:29" x14ac:dyDescent="0.2">
      <c r="B794" s="151"/>
      <c r="C794" s="152"/>
      <c r="H794" s="340"/>
      <c r="L794" s="131"/>
      <c r="M794" s="131"/>
      <c r="N794" s="131"/>
      <c r="O794" s="131"/>
      <c r="P794" s="131"/>
      <c r="Q794" s="131"/>
      <c r="R794" s="131"/>
      <c r="S794" s="131"/>
      <c r="T794" s="131"/>
      <c r="U794" s="131"/>
      <c r="V794" s="131"/>
      <c r="W794" s="131"/>
      <c r="X794" s="131"/>
      <c r="Y794" s="131"/>
      <c r="Z794" s="131"/>
      <c r="AA794" s="131"/>
      <c r="AB794" s="131"/>
      <c r="AC794" s="131"/>
    </row>
    <row r="795" spans="2:29" x14ac:dyDescent="0.2">
      <c r="B795" s="151"/>
      <c r="C795" s="152"/>
      <c r="H795" s="340"/>
      <c r="L795" s="131"/>
      <c r="M795" s="131"/>
      <c r="N795" s="131"/>
      <c r="O795" s="131"/>
      <c r="P795" s="131"/>
      <c r="Q795" s="131"/>
      <c r="R795" s="131"/>
      <c r="S795" s="131"/>
      <c r="T795" s="131"/>
      <c r="U795" s="131"/>
      <c r="V795" s="131"/>
      <c r="W795" s="131"/>
      <c r="X795" s="131"/>
      <c r="Y795" s="131"/>
      <c r="Z795" s="131"/>
      <c r="AA795" s="131"/>
      <c r="AB795" s="131"/>
      <c r="AC795" s="131"/>
    </row>
    <row r="796" spans="2:29" x14ac:dyDescent="0.2">
      <c r="B796" s="151"/>
      <c r="C796" s="152"/>
      <c r="H796" s="340"/>
      <c r="L796" s="131"/>
      <c r="M796" s="131"/>
      <c r="N796" s="131"/>
      <c r="O796" s="131"/>
      <c r="P796" s="131"/>
      <c r="Q796" s="131"/>
      <c r="R796" s="131"/>
      <c r="S796" s="131"/>
      <c r="T796" s="131"/>
      <c r="U796" s="131"/>
      <c r="V796" s="131"/>
      <c r="W796" s="131"/>
      <c r="X796" s="131"/>
      <c r="Y796" s="131"/>
      <c r="Z796" s="131"/>
      <c r="AA796" s="131"/>
      <c r="AB796" s="131"/>
      <c r="AC796" s="131"/>
    </row>
    <row r="797" spans="2:29" x14ac:dyDescent="0.2">
      <c r="B797" s="151"/>
      <c r="C797" s="152"/>
      <c r="H797" s="340"/>
      <c r="L797" s="131"/>
      <c r="M797" s="131"/>
      <c r="N797" s="131"/>
      <c r="O797" s="131"/>
      <c r="P797" s="131"/>
      <c r="Q797" s="131"/>
      <c r="R797" s="131"/>
      <c r="S797" s="131"/>
      <c r="T797" s="131"/>
      <c r="U797" s="131"/>
      <c r="V797" s="131"/>
      <c r="W797" s="131"/>
      <c r="X797" s="131"/>
      <c r="Y797" s="131"/>
      <c r="Z797" s="131"/>
      <c r="AA797" s="131"/>
      <c r="AB797" s="131"/>
      <c r="AC797" s="131"/>
    </row>
    <row r="798" spans="2:29" x14ac:dyDescent="0.2">
      <c r="B798" s="151"/>
      <c r="C798" s="152"/>
      <c r="H798" s="340"/>
      <c r="L798" s="131"/>
      <c r="M798" s="131"/>
      <c r="N798" s="131"/>
      <c r="O798" s="131"/>
      <c r="P798" s="131"/>
      <c r="Q798" s="131"/>
      <c r="R798" s="131"/>
      <c r="S798" s="131"/>
      <c r="T798" s="131"/>
      <c r="U798" s="131"/>
      <c r="V798" s="131"/>
      <c r="W798" s="131"/>
      <c r="X798" s="131"/>
      <c r="Y798" s="131"/>
      <c r="Z798" s="131"/>
      <c r="AA798" s="131"/>
      <c r="AB798" s="131"/>
      <c r="AC798" s="131"/>
    </row>
    <row r="799" spans="2:29" x14ac:dyDescent="0.2">
      <c r="B799" s="151"/>
      <c r="C799" s="152"/>
      <c r="H799" s="340"/>
      <c r="L799" s="131"/>
      <c r="M799" s="131"/>
      <c r="N799" s="131"/>
      <c r="O799" s="131"/>
      <c r="P799" s="131"/>
      <c r="Q799" s="131"/>
      <c r="R799" s="131"/>
      <c r="S799" s="131"/>
      <c r="T799" s="131"/>
      <c r="U799" s="131"/>
      <c r="V799" s="131"/>
      <c r="W799" s="131"/>
      <c r="X799" s="131"/>
      <c r="Y799" s="131"/>
      <c r="Z799" s="131"/>
      <c r="AA799" s="131"/>
      <c r="AB799" s="131"/>
      <c r="AC799" s="131"/>
    </row>
    <row r="800" spans="2:29" x14ac:dyDescent="0.2">
      <c r="B800" s="151"/>
      <c r="C800" s="152"/>
      <c r="H800" s="340"/>
      <c r="L800" s="131"/>
      <c r="M800" s="131"/>
      <c r="N800" s="131"/>
      <c r="O800" s="131"/>
      <c r="P800" s="131"/>
      <c r="Q800" s="131"/>
      <c r="R800" s="131"/>
      <c r="S800" s="131"/>
      <c r="T800" s="131"/>
      <c r="U800" s="131"/>
      <c r="V800" s="131"/>
      <c r="W800" s="131"/>
      <c r="X800" s="131"/>
      <c r="Y800" s="131"/>
      <c r="Z800" s="131"/>
      <c r="AA800" s="131"/>
      <c r="AB800" s="131"/>
      <c r="AC800" s="131"/>
    </row>
    <row r="801" spans="2:29" x14ac:dyDescent="0.2">
      <c r="B801" s="151"/>
      <c r="C801" s="152"/>
      <c r="H801" s="340"/>
      <c r="L801" s="131"/>
      <c r="M801" s="131"/>
      <c r="N801" s="131"/>
      <c r="O801" s="131"/>
      <c r="P801" s="131"/>
      <c r="Q801" s="131"/>
      <c r="R801" s="131"/>
      <c r="S801" s="131"/>
      <c r="T801" s="131"/>
      <c r="U801" s="131"/>
      <c r="V801" s="131"/>
      <c r="W801" s="131"/>
      <c r="X801" s="131"/>
      <c r="Y801" s="131"/>
      <c r="Z801" s="131"/>
      <c r="AA801" s="131"/>
      <c r="AB801" s="131"/>
      <c r="AC801" s="131"/>
    </row>
    <row r="802" spans="2:29" x14ac:dyDescent="0.2">
      <c r="B802" s="151"/>
      <c r="C802" s="152"/>
      <c r="H802" s="340"/>
      <c r="L802" s="131"/>
      <c r="M802" s="131"/>
      <c r="N802" s="131"/>
      <c r="O802" s="131"/>
      <c r="P802" s="131"/>
      <c r="Q802" s="131"/>
      <c r="R802" s="131"/>
      <c r="S802" s="131"/>
      <c r="T802" s="131"/>
      <c r="U802" s="131"/>
      <c r="V802" s="131"/>
      <c r="W802" s="131"/>
      <c r="X802" s="131"/>
      <c r="Y802" s="131"/>
      <c r="Z802" s="131"/>
      <c r="AA802" s="131"/>
      <c r="AB802" s="131"/>
      <c r="AC802" s="131"/>
    </row>
    <row r="803" spans="2:29" x14ac:dyDescent="0.2">
      <c r="B803" s="151"/>
      <c r="C803" s="152"/>
      <c r="H803" s="340"/>
      <c r="L803" s="131"/>
      <c r="M803" s="131"/>
      <c r="N803" s="131"/>
      <c r="O803" s="131"/>
      <c r="P803" s="131"/>
      <c r="Q803" s="131"/>
      <c r="R803" s="131"/>
      <c r="S803" s="131"/>
      <c r="T803" s="131"/>
      <c r="U803" s="131"/>
      <c r="V803" s="131"/>
      <c r="W803" s="131"/>
      <c r="X803" s="131"/>
      <c r="Y803" s="131"/>
      <c r="Z803" s="131"/>
      <c r="AA803" s="131"/>
      <c r="AB803" s="131"/>
      <c r="AC803" s="131"/>
    </row>
    <row r="804" spans="2:29" x14ac:dyDescent="0.2">
      <c r="B804" s="151"/>
      <c r="C804" s="152"/>
      <c r="H804" s="340"/>
      <c r="L804" s="131"/>
      <c r="M804" s="131"/>
      <c r="N804" s="131"/>
      <c r="O804" s="131"/>
      <c r="P804" s="131"/>
      <c r="Q804" s="131"/>
      <c r="R804" s="131"/>
      <c r="S804" s="131"/>
      <c r="T804" s="131"/>
      <c r="U804" s="131"/>
      <c r="V804" s="131"/>
      <c r="W804" s="131"/>
      <c r="X804" s="131"/>
      <c r="Y804" s="131"/>
      <c r="Z804" s="131"/>
      <c r="AA804" s="131"/>
      <c r="AB804" s="131"/>
      <c r="AC804" s="131"/>
    </row>
    <row r="805" spans="2:29" x14ac:dyDescent="0.2">
      <c r="B805" s="151"/>
      <c r="C805" s="152"/>
      <c r="H805" s="340"/>
      <c r="L805" s="131"/>
      <c r="M805" s="131"/>
      <c r="N805" s="131"/>
      <c r="O805" s="131"/>
      <c r="P805" s="131"/>
      <c r="Q805" s="131"/>
      <c r="R805" s="131"/>
      <c r="S805" s="131"/>
      <c r="T805" s="131"/>
      <c r="U805" s="131"/>
      <c r="V805" s="131"/>
      <c r="W805" s="131"/>
      <c r="X805" s="131"/>
      <c r="Y805" s="131"/>
      <c r="Z805" s="131"/>
      <c r="AA805" s="131"/>
      <c r="AB805" s="131"/>
      <c r="AC805" s="131"/>
    </row>
    <row r="806" spans="2:29" x14ac:dyDescent="0.2">
      <c r="B806" s="151"/>
      <c r="C806" s="152"/>
      <c r="H806" s="340"/>
      <c r="L806" s="131"/>
      <c r="M806" s="131"/>
      <c r="N806" s="131"/>
      <c r="O806" s="131"/>
      <c r="P806" s="131"/>
      <c r="Q806" s="131"/>
      <c r="R806" s="131"/>
      <c r="S806" s="131"/>
      <c r="T806" s="131"/>
      <c r="U806" s="131"/>
      <c r="V806" s="131"/>
      <c r="W806" s="131"/>
      <c r="X806" s="131"/>
      <c r="Y806" s="131"/>
      <c r="Z806" s="131"/>
      <c r="AA806" s="131"/>
      <c r="AB806" s="131"/>
      <c r="AC806" s="131"/>
    </row>
    <row r="807" spans="2:29" x14ac:dyDescent="0.2">
      <c r="B807" s="151"/>
      <c r="C807" s="152"/>
      <c r="H807" s="340"/>
      <c r="L807" s="131"/>
      <c r="M807" s="131"/>
      <c r="N807" s="131"/>
      <c r="O807" s="131"/>
      <c r="P807" s="131"/>
      <c r="Q807" s="131"/>
      <c r="R807" s="131"/>
      <c r="S807" s="131"/>
      <c r="T807" s="131"/>
      <c r="U807" s="131"/>
      <c r="V807" s="131"/>
      <c r="W807" s="131"/>
      <c r="X807" s="131"/>
      <c r="Y807" s="131"/>
      <c r="Z807" s="131"/>
      <c r="AA807" s="131"/>
      <c r="AB807" s="131"/>
      <c r="AC807" s="131"/>
    </row>
    <row r="808" spans="2:29" x14ac:dyDescent="0.2">
      <c r="B808" s="151"/>
      <c r="C808" s="152"/>
      <c r="H808" s="340"/>
      <c r="L808" s="131"/>
      <c r="M808" s="131"/>
      <c r="N808" s="131"/>
      <c r="O808" s="131"/>
      <c r="P808" s="131"/>
      <c r="Q808" s="131"/>
      <c r="R808" s="131"/>
      <c r="S808" s="131"/>
      <c r="T808" s="131"/>
      <c r="U808" s="131"/>
      <c r="V808" s="131"/>
      <c r="W808" s="131"/>
      <c r="X808" s="131"/>
      <c r="Y808" s="131"/>
      <c r="Z808" s="131"/>
      <c r="AA808" s="131"/>
      <c r="AB808" s="131"/>
      <c r="AC808" s="131"/>
    </row>
    <row r="809" spans="2:29" x14ac:dyDescent="0.2">
      <c r="B809" s="151"/>
      <c r="C809" s="152"/>
      <c r="H809" s="340"/>
      <c r="L809" s="131"/>
      <c r="M809" s="131"/>
      <c r="N809" s="131"/>
      <c r="O809" s="131"/>
      <c r="P809" s="131"/>
      <c r="Q809" s="131"/>
      <c r="R809" s="131"/>
      <c r="S809" s="131"/>
      <c r="T809" s="131"/>
      <c r="U809" s="131"/>
      <c r="V809" s="131"/>
      <c r="W809" s="131"/>
      <c r="X809" s="131"/>
      <c r="Y809" s="131"/>
      <c r="Z809" s="131"/>
      <c r="AA809" s="131"/>
      <c r="AB809" s="131"/>
      <c r="AC809" s="131"/>
    </row>
    <row r="810" spans="2:29" x14ac:dyDescent="0.2">
      <c r="B810" s="151"/>
      <c r="C810" s="152"/>
      <c r="H810" s="340"/>
      <c r="L810" s="131"/>
      <c r="M810" s="131"/>
      <c r="N810" s="131"/>
      <c r="O810" s="131"/>
      <c r="P810" s="131"/>
      <c r="Q810" s="131"/>
      <c r="R810" s="131"/>
      <c r="S810" s="131"/>
      <c r="T810" s="131"/>
      <c r="U810" s="131"/>
      <c r="V810" s="131"/>
      <c r="W810" s="131"/>
      <c r="X810" s="131"/>
      <c r="Y810" s="131"/>
      <c r="Z810" s="131"/>
      <c r="AA810" s="131"/>
      <c r="AB810" s="131"/>
      <c r="AC810" s="131"/>
    </row>
    <row r="811" spans="2:29" x14ac:dyDescent="0.2">
      <c r="B811" s="151"/>
      <c r="C811" s="152"/>
      <c r="H811" s="340"/>
      <c r="L811" s="131"/>
      <c r="M811" s="131"/>
      <c r="N811" s="131"/>
      <c r="O811" s="131"/>
      <c r="P811" s="131"/>
      <c r="Q811" s="131"/>
      <c r="R811" s="131"/>
      <c r="S811" s="131"/>
      <c r="T811" s="131"/>
      <c r="U811" s="131"/>
      <c r="V811" s="131"/>
      <c r="W811" s="131"/>
      <c r="X811" s="131"/>
      <c r="Y811" s="131"/>
      <c r="Z811" s="131"/>
      <c r="AA811" s="131"/>
      <c r="AB811" s="131"/>
      <c r="AC811" s="131"/>
    </row>
    <row r="812" spans="2:29" x14ac:dyDescent="0.2">
      <c r="B812" s="151"/>
      <c r="C812" s="152"/>
      <c r="H812" s="340"/>
      <c r="L812" s="131"/>
      <c r="M812" s="131"/>
      <c r="N812" s="131"/>
      <c r="O812" s="131"/>
      <c r="P812" s="131"/>
      <c r="Q812" s="131"/>
      <c r="R812" s="131"/>
      <c r="S812" s="131"/>
      <c r="T812" s="131"/>
      <c r="U812" s="131"/>
      <c r="V812" s="131"/>
      <c r="W812" s="131"/>
      <c r="X812" s="131"/>
      <c r="Y812" s="131"/>
      <c r="Z812" s="131"/>
      <c r="AA812" s="131"/>
      <c r="AB812" s="131"/>
      <c r="AC812" s="131"/>
    </row>
    <row r="813" spans="2:29" x14ac:dyDescent="0.2">
      <c r="B813" s="151"/>
      <c r="C813" s="152"/>
      <c r="H813" s="340"/>
      <c r="L813" s="131"/>
      <c r="M813" s="131"/>
      <c r="N813" s="131"/>
      <c r="O813" s="131"/>
      <c r="P813" s="131"/>
      <c r="Q813" s="131"/>
      <c r="R813" s="131"/>
      <c r="S813" s="131"/>
      <c r="T813" s="131"/>
      <c r="U813" s="131"/>
      <c r="V813" s="131"/>
      <c r="W813" s="131"/>
      <c r="X813" s="131"/>
      <c r="Y813" s="131"/>
      <c r="Z813" s="131"/>
      <c r="AA813" s="131"/>
      <c r="AB813" s="131"/>
      <c r="AC813" s="131"/>
    </row>
    <row r="814" spans="2:29" x14ac:dyDescent="0.2">
      <c r="B814" s="151"/>
      <c r="C814" s="152"/>
      <c r="H814" s="340"/>
      <c r="L814" s="131"/>
      <c r="M814" s="131"/>
      <c r="N814" s="131"/>
      <c r="O814" s="131"/>
      <c r="P814" s="131"/>
      <c r="Q814" s="131"/>
      <c r="R814" s="131"/>
      <c r="S814" s="131"/>
      <c r="T814" s="131"/>
      <c r="U814" s="131"/>
      <c r="V814" s="131"/>
      <c r="W814" s="131"/>
      <c r="X814" s="131"/>
      <c r="Y814" s="131"/>
      <c r="Z814" s="131"/>
      <c r="AA814" s="131"/>
      <c r="AB814" s="131"/>
      <c r="AC814" s="131"/>
    </row>
    <row r="815" spans="2:29" x14ac:dyDescent="0.2">
      <c r="B815" s="151"/>
      <c r="C815" s="152"/>
      <c r="H815" s="340"/>
      <c r="L815" s="131"/>
      <c r="M815" s="131"/>
      <c r="N815" s="131"/>
      <c r="O815" s="131"/>
      <c r="P815" s="131"/>
      <c r="Q815" s="131"/>
      <c r="R815" s="131"/>
      <c r="S815" s="131"/>
      <c r="T815" s="131"/>
      <c r="U815" s="131"/>
      <c r="V815" s="131"/>
      <c r="W815" s="131"/>
      <c r="X815" s="131"/>
      <c r="Y815" s="131"/>
      <c r="Z815" s="131"/>
      <c r="AA815" s="131"/>
      <c r="AB815" s="131"/>
      <c r="AC815" s="131"/>
    </row>
    <row r="816" spans="2:29" x14ac:dyDescent="0.2">
      <c r="B816" s="151"/>
      <c r="C816" s="152"/>
      <c r="H816" s="340"/>
      <c r="L816" s="131"/>
      <c r="M816" s="131"/>
      <c r="N816" s="131"/>
      <c r="O816" s="131"/>
      <c r="P816" s="131"/>
      <c r="Q816" s="131"/>
      <c r="R816" s="131"/>
      <c r="S816" s="131"/>
      <c r="T816" s="131"/>
      <c r="U816" s="131"/>
      <c r="V816" s="131"/>
      <c r="W816" s="131"/>
      <c r="X816" s="131"/>
      <c r="Y816" s="131"/>
      <c r="Z816" s="131"/>
      <c r="AA816" s="131"/>
      <c r="AB816" s="131"/>
      <c r="AC816" s="131"/>
    </row>
    <row r="817" spans="2:29" x14ac:dyDescent="0.2">
      <c r="B817" s="151"/>
      <c r="C817" s="152"/>
      <c r="H817" s="340"/>
      <c r="L817" s="131"/>
      <c r="M817" s="131"/>
      <c r="N817" s="131"/>
      <c r="O817" s="131"/>
      <c r="P817" s="131"/>
      <c r="Q817" s="131"/>
      <c r="R817" s="131"/>
      <c r="S817" s="131"/>
      <c r="T817" s="131"/>
      <c r="U817" s="131"/>
      <c r="V817" s="131"/>
      <c r="W817" s="131"/>
      <c r="X817" s="131"/>
      <c r="Y817" s="131"/>
      <c r="Z817" s="131"/>
      <c r="AA817" s="131"/>
      <c r="AB817" s="131"/>
      <c r="AC817" s="131"/>
    </row>
    <row r="818" spans="2:29" x14ac:dyDescent="0.2">
      <c r="B818" s="151"/>
      <c r="C818" s="152"/>
      <c r="H818" s="340"/>
      <c r="L818" s="131"/>
      <c r="M818" s="131"/>
      <c r="N818" s="131"/>
      <c r="O818" s="131"/>
      <c r="P818" s="131"/>
      <c r="Q818" s="131"/>
      <c r="R818" s="131"/>
      <c r="S818" s="131"/>
      <c r="T818" s="131"/>
      <c r="U818" s="131"/>
      <c r="V818" s="131"/>
      <c r="W818" s="131"/>
      <c r="X818" s="131"/>
      <c r="Y818" s="131"/>
      <c r="Z818" s="131"/>
      <c r="AA818" s="131"/>
      <c r="AB818" s="131"/>
      <c r="AC818" s="131"/>
    </row>
    <row r="819" spans="2:29" x14ac:dyDescent="0.2">
      <c r="B819" s="151"/>
      <c r="C819" s="152"/>
      <c r="H819" s="340"/>
      <c r="L819" s="131"/>
      <c r="M819" s="131"/>
      <c r="N819" s="131"/>
      <c r="O819" s="131"/>
      <c r="P819" s="131"/>
      <c r="Q819" s="131"/>
      <c r="R819" s="131"/>
      <c r="S819" s="131"/>
      <c r="T819" s="131"/>
      <c r="U819" s="131"/>
      <c r="V819" s="131"/>
      <c r="W819" s="131"/>
      <c r="X819" s="131"/>
      <c r="Y819" s="131"/>
      <c r="Z819" s="131"/>
      <c r="AA819" s="131"/>
      <c r="AB819" s="131"/>
      <c r="AC819" s="131"/>
    </row>
    <row r="820" spans="2:29" x14ac:dyDescent="0.2">
      <c r="B820" s="151"/>
      <c r="C820" s="152"/>
      <c r="H820" s="340"/>
      <c r="L820" s="131"/>
      <c r="M820" s="131"/>
      <c r="N820" s="131"/>
      <c r="O820" s="131"/>
      <c r="P820" s="131"/>
      <c r="Q820" s="131"/>
      <c r="R820" s="131"/>
      <c r="S820" s="131"/>
      <c r="T820" s="131"/>
      <c r="U820" s="131"/>
      <c r="V820" s="131"/>
      <c r="W820" s="131"/>
      <c r="X820" s="131"/>
      <c r="Y820" s="131"/>
      <c r="Z820" s="131"/>
      <c r="AA820" s="131"/>
      <c r="AB820" s="131"/>
      <c r="AC820" s="131"/>
    </row>
    <row r="821" spans="2:29" x14ac:dyDescent="0.2">
      <c r="B821" s="151"/>
      <c r="C821" s="152"/>
      <c r="H821" s="340"/>
      <c r="L821" s="131"/>
      <c r="M821" s="131"/>
      <c r="N821" s="131"/>
      <c r="O821" s="131"/>
      <c r="P821" s="131"/>
      <c r="Q821" s="131"/>
      <c r="R821" s="131"/>
      <c r="S821" s="131"/>
      <c r="T821" s="131"/>
      <c r="U821" s="131"/>
      <c r="V821" s="131"/>
      <c r="W821" s="131"/>
      <c r="X821" s="131"/>
      <c r="Y821" s="131"/>
      <c r="Z821" s="131"/>
      <c r="AA821" s="131"/>
      <c r="AB821" s="131"/>
      <c r="AC821" s="131"/>
    </row>
    <row r="822" spans="2:29" x14ac:dyDescent="0.2">
      <c r="B822" s="151"/>
      <c r="C822" s="152"/>
      <c r="H822" s="340"/>
      <c r="L822" s="131"/>
      <c r="M822" s="131"/>
      <c r="N822" s="131"/>
      <c r="O822" s="131"/>
      <c r="P822" s="131"/>
      <c r="Q822" s="131"/>
      <c r="R822" s="131"/>
      <c r="S822" s="131"/>
      <c r="T822" s="131"/>
      <c r="U822" s="131"/>
      <c r="V822" s="131"/>
      <c r="W822" s="131"/>
      <c r="X822" s="131"/>
      <c r="Y822" s="131"/>
      <c r="Z822" s="131"/>
      <c r="AA822" s="131"/>
      <c r="AB822" s="131"/>
      <c r="AC822" s="131"/>
    </row>
    <row r="823" spans="2:29" x14ac:dyDescent="0.2">
      <c r="B823" s="151"/>
      <c r="C823" s="152"/>
      <c r="H823" s="340"/>
      <c r="L823" s="131"/>
      <c r="M823" s="131"/>
      <c r="N823" s="131"/>
      <c r="O823" s="131"/>
      <c r="P823" s="131"/>
      <c r="Q823" s="131"/>
      <c r="R823" s="131"/>
      <c r="S823" s="131"/>
      <c r="T823" s="131"/>
      <c r="U823" s="131"/>
      <c r="V823" s="131"/>
      <c r="W823" s="131"/>
      <c r="X823" s="131"/>
      <c r="Y823" s="131"/>
      <c r="Z823" s="131"/>
      <c r="AA823" s="131"/>
      <c r="AB823" s="131"/>
      <c r="AC823" s="131"/>
    </row>
    <row r="824" spans="2:29" x14ac:dyDescent="0.2">
      <c r="B824" s="151"/>
      <c r="C824" s="152"/>
      <c r="H824" s="340"/>
      <c r="L824" s="131"/>
      <c r="M824" s="131"/>
      <c r="N824" s="131"/>
      <c r="O824" s="131"/>
      <c r="P824" s="131"/>
      <c r="Q824" s="131"/>
      <c r="R824" s="131"/>
      <c r="S824" s="131"/>
      <c r="T824" s="131"/>
      <c r="U824" s="131"/>
      <c r="V824" s="131"/>
      <c r="W824" s="131"/>
      <c r="X824" s="131"/>
      <c r="Y824" s="131"/>
      <c r="Z824" s="131"/>
      <c r="AA824" s="131"/>
      <c r="AB824" s="131"/>
      <c r="AC824" s="131"/>
    </row>
    <row r="825" spans="2:29" x14ac:dyDescent="0.2">
      <c r="B825" s="151"/>
      <c r="C825" s="152"/>
      <c r="H825" s="340"/>
      <c r="L825" s="131"/>
      <c r="M825" s="131"/>
      <c r="N825" s="131"/>
      <c r="O825" s="131"/>
      <c r="P825" s="131"/>
      <c r="Q825" s="131"/>
      <c r="R825" s="131"/>
      <c r="S825" s="131"/>
      <c r="T825" s="131"/>
      <c r="U825" s="131"/>
      <c r="V825" s="131"/>
      <c r="W825" s="131"/>
      <c r="X825" s="131"/>
      <c r="Y825" s="131"/>
      <c r="Z825" s="131"/>
      <c r="AA825" s="131"/>
      <c r="AB825" s="131"/>
      <c r="AC825" s="131"/>
    </row>
    <row r="826" spans="2:29" x14ac:dyDescent="0.2">
      <c r="B826" s="151"/>
      <c r="C826" s="152"/>
      <c r="H826" s="340"/>
      <c r="L826" s="131"/>
      <c r="M826" s="131"/>
      <c r="N826" s="131"/>
      <c r="O826" s="131"/>
      <c r="P826" s="131"/>
      <c r="Q826" s="131"/>
      <c r="R826" s="131"/>
      <c r="S826" s="131"/>
      <c r="T826" s="131"/>
      <c r="U826" s="131"/>
      <c r="V826" s="131"/>
      <c r="W826" s="131"/>
      <c r="X826" s="131"/>
      <c r="Y826" s="131"/>
      <c r="Z826" s="131"/>
      <c r="AA826" s="131"/>
      <c r="AB826" s="131"/>
      <c r="AC826" s="131"/>
    </row>
    <row r="827" spans="2:29" x14ac:dyDescent="0.2">
      <c r="B827" s="151"/>
      <c r="C827" s="152"/>
      <c r="H827" s="340"/>
      <c r="L827" s="131"/>
      <c r="M827" s="131"/>
      <c r="N827" s="131"/>
      <c r="O827" s="131"/>
      <c r="P827" s="131"/>
      <c r="Q827" s="131"/>
      <c r="R827" s="131"/>
      <c r="S827" s="131"/>
      <c r="T827" s="131"/>
      <c r="U827" s="131"/>
      <c r="V827" s="131"/>
      <c r="W827" s="131"/>
      <c r="X827" s="131"/>
      <c r="Y827" s="131"/>
      <c r="Z827" s="131"/>
      <c r="AA827" s="131"/>
      <c r="AB827" s="131"/>
      <c r="AC827" s="131"/>
    </row>
    <row r="828" spans="2:29" x14ac:dyDescent="0.2">
      <c r="B828" s="151"/>
      <c r="C828" s="152"/>
      <c r="H828" s="340"/>
      <c r="L828" s="131"/>
      <c r="M828" s="131"/>
      <c r="N828" s="131"/>
      <c r="O828" s="131"/>
      <c r="P828" s="131"/>
      <c r="Q828" s="131"/>
      <c r="R828" s="131"/>
      <c r="S828" s="131"/>
      <c r="T828" s="131"/>
      <c r="U828" s="131"/>
      <c r="V828" s="131"/>
      <c r="W828" s="131"/>
      <c r="X828" s="131"/>
      <c r="Y828" s="131"/>
      <c r="Z828" s="131"/>
      <c r="AA828" s="131"/>
      <c r="AB828" s="131"/>
      <c r="AC828" s="131"/>
    </row>
    <row r="829" spans="2:29" x14ac:dyDescent="0.2">
      <c r="B829" s="151"/>
      <c r="C829" s="152"/>
      <c r="H829" s="340"/>
      <c r="L829" s="131"/>
      <c r="M829" s="131"/>
      <c r="N829" s="131"/>
      <c r="O829" s="131"/>
      <c r="P829" s="131"/>
      <c r="Q829" s="131"/>
      <c r="R829" s="131"/>
      <c r="S829" s="131"/>
      <c r="T829" s="131"/>
      <c r="U829" s="131"/>
      <c r="V829" s="131"/>
      <c r="W829" s="131"/>
      <c r="X829" s="131"/>
      <c r="Y829" s="131"/>
      <c r="Z829" s="131"/>
      <c r="AA829" s="131"/>
      <c r="AB829" s="131"/>
      <c r="AC829" s="131"/>
    </row>
    <row r="830" spans="2:29" x14ac:dyDescent="0.2">
      <c r="B830" s="151"/>
      <c r="C830" s="152"/>
      <c r="H830" s="340"/>
      <c r="L830" s="131"/>
      <c r="M830" s="131"/>
      <c r="N830" s="131"/>
      <c r="O830" s="131"/>
      <c r="P830" s="131"/>
      <c r="Q830" s="131"/>
      <c r="R830" s="131"/>
      <c r="S830" s="131"/>
      <c r="T830" s="131"/>
      <c r="U830" s="131"/>
      <c r="V830" s="131"/>
      <c r="W830" s="131"/>
      <c r="X830" s="131"/>
      <c r="Y830" s="131"/>
      <c r="Z830" s="131"/>
      <c r="AA830" s="131"/>
      <c r="AB830" s="131"/>
      <c r="AC830" s="131"/>
    </row>
    <row r="831" spans="2:29" x14ac:dyDescent="0.2">
      <c r="B831" s="151"/>
      <c r="C831" s="152"/>
      <c r="H831" s="340"/>
      <c r="L831" s="131"/>
      <c r="M831" s="131"/>
      <c r="N831" s="131"/>
      <c r="O831" s="131"/>
      <c r="P831" s="131"/>
      <c r="Q831" s="131"/>
      <c r="R831" s="131"/>
      <c r="S831" s="131"/>
      <c r="T831" s="131"/>
      <c r="U831" s="131"/>
      <c r="V831" s="131"/>
      <c r="W831" s="131"/>
      <c r="X831" s="131"/>
      <c r="Y831" s="131"/>
      <c r="Z831" s="131"/>
      <c r="AA831" s="131"/>
      <c r="AB831" s="131"/>
      <c r="AC831" s="131"/>
    </row>
    <row r="832" spans="2:29" x14ac:dyDescent="0.2">
      <c r="B832" s="151"/>
      <c r="C832" s="152"/>
      <c r="H832" s="340"/>
      <c r="L832" s="131"/>
      <c r="M832" s="131"/>
      <c r="N832" s="131"/>
      <c r="O832" s="131"/>
      <c r="P832" s="131"/>
      <c r="Q832" s="131"/>
      <c r="R832" s="131"/>
      <c r="S832" s="131"/>
      <c r="T832" s="131"/>
      <c r="U832" s="131"/>
      <c r="V832" s="131"/>
      <c r="W832" s="131"/>
      <c r="X832" s="131"/>
      <c r="Y832" s="131"/>
      <c r="Z832" s="131"/>
      <c r="AA832" s="131"/>
      <c r="AB832" s="131"/>
      <c r="AC832" s="131"/>
    </row>
    <row r="833" spans="2:29" x14ac:dyDescent="0.2">
      <c r="B833" s="151"/>
      <c r="C833" s="152"/>
      <c r="H833" s="340"/>
      <c r="L833" s="131"/>
      <c r="M833" s="131"/>
      <c r="N833" s="131"/>
      <c r="O833" s="131"/>
      <c r="P833" s="131"/>
      <c r="Q833" s="131"/>
      <c r="R833" s="131"/>
      <c r="S833" s="131"/>
      <c r="T833" s="131"/>
      <c r="U833" s="131"/>
      <c r="V833" s="131"/>
      <c r="W833" s="131"/>
      <c r="X833" s="131"/>
      <c r="Y833" s="131"/>
      <c r="Z833" s="131"/>
      <c r="AA833" s="131"/>
      <c r="AB833" s="131"/>
      <c r="AC833" s="131"/>
    </row>
    <row r="834" spans="2:29" x14ac:dyDescent="0.2">
      <c r="B834" s="151"/>
      <c r="C834" s="152"/>
      <c r="H834" s="340"/>
      <c r="L834" s="131"/>
      <c r="M834" s="131"/>
      <c r="N834" s="131"/>
      <c r="O834" s="131"/>
      <c r="P834" s="131"/>
      <c r="Q834" s="131"/>
      <c r="R834" s="131"/>
      <c r="S834" s="131"/>
      <c r="T834" s="131"/>
      <c r="U834" s="131"/>
      <c r="V834" s="131"/>
      <c r="W834" s="131"/>
      <c r="X834" s="131"/>
      <c r="Y834" s="131"/>
      <c r="Z834" s="131"/>
      <c r="AA834" s="131"/>
      <c r="AB834" s="131"/>
      <c r="AC834" s="131"/>
    </row>
    <row r="835" spans="2:29" x14ac:dyDescent="0.2">
      <c r="B835" s="151"/>
      <c r="C835" s="152"/>
      <c r="H835" s="340"/>
      <c r="L835" s="131"/>
      <c r="M835" s="131"/>
      <c r="N835" s="131"/>
      <c r="O835" s="131"/>
      <c r="P835" s="131"/>
      <c r="Q835" s="131"/>
      <c r="R835" s="131"/>
      <c r="S835" s="131"/>
      <c r="T835" s="131"/>
      <c r="U835" s="131"/>
      <c r="V835" s="131"/>
      <c r="W835" s="131"/>
      <c r="X835" s="131"/>
      <c r="Y835" s="131"/>
      <c r="Z835" s="131"/>
      <c r="AA835" s="131"/>
      <c r="AB835" s="131"/>
      <c r="AC835" s="131"/>
    </row>
    <row r="836" spans="2:29" x14ac:dyDescent="0.2">
      <c r="B836" s="151"/>
      <c r="C836" s="152"/>
      <c r="H836" s="340"/>
      <c r="L836" s="131"/>
      <c r="M836" s="131"/>
      <c r="N836" s="131"/>
      <c r="O836" s="131"/>
      <c r="P836" s="131"/>
      <c r="Q836" s="131"/>
      <c r="R836" s="131"/>
      <c r="S836" s="131"/>
      <c r="T836" s="131"/>
      <c r="U836" s="131"/>
      <c r="V836" s="131"/>
      <c r="W836" s="131"/>
      <c r="X836" s="131"/>
      <c r="Y836" s="131"/>
      <c r="Z836" s="131"/>
      <c r="AA836" s="131"/>
      <c r="AB836" s="131"/>
      <c r="AC836" s="131"/>
    </row>
    <row r="837" spans="2:29" x14ac:dyDescent="0.2">
      <c r="B837" s="151"/>
      <c r="C837" s="152"/>
      <c r="H837" s="340"/>
      <c r="L837" s="131"/>
      <c r="M837" s="131"/>
      <c r="N837" s="131"/>
      <c r="O837" s="131"/>
      <c r="P837" s="131"/>
      <c r="Q837" s="131"/>
      <c r="R837" s="131"/>
      <c r="S837" s="131"/>
      <c r="T837" s="131"/>
      <c r="U837" s="131"/>
      <c r="V837" s="131"/>
      <c r="W837" s="131"/>
      <c r="X837" s="131"/>
      <c r="Y837" s="131"/>
      <c r="Z837" s="131"/>
      <c r="AA837" s="131"/>
      <c r="AB837" s="131"/>
      <c r="AC837" s="131"/>
    </row>
    <row r="838" spans="2:29" x14ac:dyDescent="0.2">
      <c r="B838" s="151"/>
      <c r="C838" s="152"/>
      <c r="H838" s="340"/>
      <c r="L838" s="131"/>
      <c r="M838" s="131"/>
      <c r="N838" s="131"/>
      <c r="O838" s="131"/>
      <c r="P838" s="131"/>
      <c r="Q838" s="131"/>
      <c r="R838" s="131"/>
      <c r="S838" s="131"/>
      <c r="T838" s="131"/>
      <c r="U838" s="131"/>
      <c r="V838" s="131"/>
      <c r="W838" s="131"/>
      <c r="X838" s="131"/>
      <c r="Y838" s="131"/>
      <c r="Z838" s="131"/>
      <c r="AA838" s="131"/>
      <c r="AB838" s="131"/>
      <c r="AC838" s="131"/>
    </row>
    <row r="839" spans="2:29" x14ac:dyDescent="0.2">
      <c r="B839" s="151"/>
      <c r="C839" s="152"/>
      <c r="H839" s="340"/>
      <c r="L839" s="131"/>
      <c r="M839" s="131"/>
      <c r="N839" s="131"/>
      <c r="O839" s="131"/>
      <c r="P839" s="131"/>
      <c r="Q839" s="131"/>
      <c r="R839" s="131"/>
      <c r="S839" s="131"/>
      <c r="T839" s="131"/>
      <c r="U839" s="131"/>
      <c r="V839" s="131"/>
      <c r="W839" s="131"/>
      <c r="X839" s="131"/>
      <c r="Y839" s="131"/>
      <c r="Z839" s="131"/>
      <c r="AA839" s="131"/>
      <c r="AB839" s="131"/>
      <c r="AC839" s="131"/>
    </row>
    <row r="840" spans="2:29" x14ac:dyDescent="0.2">
      <c r="B840" s="151"/>
      <c r="C840" s="152"/>
      <c r="H840" s="340"/>
      <c r="L840" s="131"/>
      <c r="M840" s="131"/>
      <c r="N840" s="131"/>
      <c r="O840" s="131"/>
      <c r="P840" s="131"/>
      <c r="Q840" s="131"/>
      <c r="R840" s="131"/>
      <c r="S840" s="131"/>
      <c r="T840" s="131"/>
      <c r="U840" s="131"/>
      <c r="V840" s="131"/>
      <c r="W840" s="131"/>
      <c r="X840" s="131"/>
      <c r="Y840" s="131"/>
      <c r="Z840" s="131"/>
      <c r="AA840" s="131"/>
      <c r="AB840" s="131"/>
      <c r="AC840" s="131"/>
    </row>
    <row r="841" spans="2:29" x14ac:dyDescent="0.2">
      <c r="B841" s="151"/>
      <c r="C841" s="152"/>
      <c r="H841" s="340"/>
      <c r="L841" s="131"/>
      <c r="M841" s="131"/>
      <c r="N841" s="131"/>
      <c r="O841" s="131"/>
      <c r="P841" s="131"/>
      <c r="Q841" s="131"/>
      <c r="R841" s="131"/>
      <c r="S841" s="131"/>
      <c r="T841" s="131"/>
      <c r="U841" s="131"/>
      <c r="V841" s="131"/>
      <c r="W841" s="131"/>
      <c r="X841" s="131"/>
      <c r="Y841" s="131"/>
      <c r="Z841" s="131"/>
      <c r="AA841" s="131"/>
      <c r="AB841" s="131"/>
      <c r="AC841" s="131"/>
    </row>
    <row r="842" spans="2:29" x14ac:dyDescent="0.2">
      <c r="B842" s="151"/>
      <c r="C842" s="152"/>
      <c r="H842" s="340"/>
      <c r="L842" s="131"/>
      <c r="M842" s="131"/>
      <c r="N842" s="131"/>
      <c r="O842" s="131"/>
      <c r="P842" s="131"/>
      <c r="Q842" s="131"/>
      <c r="R842" s="131"/>
      <c r="S842" s="131"/>
      <c r="T842" s="131"/>
      <c r="U842" s="131"/>
      <c r="V842" s="131"/>
      <c r="W842" s="131"/>
      <c r="X842" s="131"/>
      <c r="Y842" s="131"/>
      <c r="Z842" s="131"/>
      <c r="AA842" s="131"/>
      <c r="AB842" s="131"/>
      <c r="AC842" s="131"/>
    </row>
    <row r="843" spans="2:29" x14ac:dyDescent="0.2">
      <c r="B843" s="151"/>
      <c r="C843" s="152"/>
      <c r="H843" s="340"/>
      <c r="L843" s="131"/>
      <c r="M843" s="131"/>
      <c r="N843" s="131"/>
      <c r="O843" s="131"/>
      <c r="P843" s="131"/>
      <c r="Q843" s="131"/>
      <c r="R843" s="131"/>
      <c r="S843" s="131"/>
      <c r="T843" s="131"/>
      <c r="U843" s="131"/>
      <c r="V843" s="131"/>
      <c r="W843" s="131"/>
      <c r="X843" s="131"/>
      <c r="Y843" s="131"/>
      <c r="Z843" s="131"/>
      <c r="AA843" s="131"/>
      <c r="AB843" s="131"/>
      <c r="AC843" s="131"/>
    </row>
    <row r="844" spans="2:29" x14ac:dyDescent="0.2">
      <c r="B844" s="151"/>
      <c r="C844" s="152"/>
      <c r="H844" s="340"/>
      <c r="L844" s="131"/>
      <c r="M844" s="131"/>
      <c r="N844" s="131"/>
      <c r="O844" s="131"/>
      <c r="P844" s="131"/>
      <c r="Q844" s="131"/>
      <c r="R844" s="131"/>
      <c r="S844" s="131"/>
      <c r="T844" s="131"/>
      <c r="U844" s="131"/>
      <c r="V844" s="131"/>
      <c r="W844" s="131"/>
      <c r="X844" s="131"/>
      <c r="Y844" s="131"/>
      <c r="Z844" s="131"/>
      <c r="AA844" s="131"/>
      <c r="AB844" s="131"/>
      <c r="AC844" s="131"/>
    </row>
    <row r="845" spans="2:29" x14ac:dyDescent="0.2">
      <c r="B845" s="151"/>
      <c r="C845" s="152"/>
      <c r="H845" s="340"/>
      <c r="L845" s="131"/>
      <c r="M845" s="131"/>
      <c r="N845" s="131"/>
      <c r="O845" s="131"/>
      <c r="P845" s="131"/>
      <c r="Q845" s="131"/>
      <c r="R845" s="131"/>
      <c r="S845" s="131"/>
      <c r="T845" s="131"/>
      <c r="U845" s="131"/>
      <c r="V845" s="131"/>
      <c r="W845" s="131"/>
      <c r="X845" s="131"/>
      <c r="Y845" s="131"/>
      <c r="Z845" s="131"/>
      <c r="AA845" s="131"/>
      <c r="AB845" s="131"/>
      <c r="AC845" s="131"/>
    </row>
    <row r="846" spans="2:29" x14ac:dyDescent="0.2">
      <c r="B846" s="151"/>
      <c r="C846" s="152"/>
      <c r="H846" s="340"/>
      <c r="L846" s="131"/>
      <c r="M846" s="131"/>
      <c r="N846" s="131"/>
      <c r="O846" s="131"/>
      <c r="P846" s="131"/>
      <c r="Q846" s="131"/>
      <c r="R846" s="131"/>
      <c r="S846" s="131"/>
      <c r="T846" s="131"/>
      <c r="U846" s="131"/>
      <c r="V846" s="131"/>
      <c r="W846" s="131"/>
      <c r="X846" s="131"/>
      <c r="Y846" s="131"/>
      <c r="Z846" s="131"/>
      <c r="AA846" s="131"/>
      <c r="AB846" s="131"/>
      <c r="AC846" s="131"/>
    </row>
    <row r="847" spans="2:29" x14ac:dyDescent="0.2">
      <c r="B847" s="151"/>
      <c r="C847" s="152"/>
      <c r="H847" s="340"/>
      <c r="L847" s="131"/>
      <c r="M847" s="131"/>
      <c r="N847" s="131"/>
      <c r="O847" s="131"/>
      <c r="P847" s="131"/>
      <c r="Q847" s="131"/>
      <c r="R847" s="131"/>
      <c r="S847" s="131"/>
      <c r="T847" s="131"/>
      <c r="U847" s="131"/>
      <c r="V847" s="131"/>
      <c r="W847" s="131"/>
      <c r="X847" s="131"/>
      <c r="Y847" s="131"/>
      <c r="Z847" s="131"/>
      <c r="AA847" s="131"/>
      <c r="AB847" s="131"/>
      <c r="AC847" s="131"/>
    </row>
    <row r="848" spans="2:29" x14ac:dyDescent="0.2">
      <c r="B848" s="151"/>
      <c r="C848" s="152"/>
      <c r="H848" s="340"/>
      <c r="L848" s="131"/>
      <c r="M848" s="131"/>
      <c r="N848" s="131"/>
      <c r="O848" s="131"/>
      <c r="P848" s="131"/>
      <c r="Q848" s="131"/>
      <c r="R848" s="131"/>
      <c r="S848" s="131"/>
      <c r="T848" s="131"/>
      <c r="U848" s="131"/>
      <c r="V848" s="131"/>
      <c r="W848" s="131"/>
      <c r="X848" s="131"/>
      <c r="Y848" s="131"/>
      <c r="Z848" s="131"/>
      <c r="AA848" s="131"/>
      <c r="AB848" s="131"/>
      <c r="AC848" s="131"/>
    </row>
    <row r="849" spans="2:29" x14ac:dyDescent="0.2">
      <c r="B849" s="151"/>
      <c r="C849" s="152"/>
      <c r="H849" s="340"/>
      <c r="L849" s="131"/>
      <c r="M849" s="131"/>
      <c r="N849" s="131"/>
      <c r="O849" s="131"/>
      <c r="P849" s="131"/>
      <c r="Q849" s="131"/>
      <c r="R849" s="131"/>
      <c r="S849" s="131"/>
      <c r="T849" s="131"/>
      <c r="U849" s="131"/>
      <c r="V849" s="131"/>
      <c r="W849" s="131"/>
      <c r="X849" s="131"/>
      <c r="Y849" s="131"/>
      <c r="Z849" s="131"/>
      <c r="AA849" s="131"/>
      <c r="AB849" s="131"/>
      <c r="AC849" s="131"/>
    </row>
    <row r="850" spans="2:29" x14ac:dyDescent="0.2">
      <c r="B850" s="151"/>
      <c r="C850" s="152"/>
      <c r="H850" s="340"/>
      <c r="L850" s="131"/>
      <c r="M850" s="131"/>
      <c r="N850" s="131"/>
      <c r="O850" s="131"/>
      <c r="P850" s="131"/>
      <c r="Q850" s="131"/>
      <c r="R850" s="131"/>
      <c r="S850" s="131"/>
      <c r="T850" s="131"/>
      <c r="U850" s="131"/>
      <c r="V850" s="131"/>
      <c r="W850" s="131"/>
      <c r="X850" s="131"/>
      <c r="Y850" s="131"/>
      <c r="Z850" s="131"/>
      <c r="AA850" s="131"/>
      <c r="AB850" s="131"/>
      <c r="AC850" s="131"/>
    </row>
    <row r="851" spans="2:29" x14ac:dyDescent="0.2">
      <c r="B851" s="151"/>
      <c r="C851" s="152"/>
      <c r="H851" s="340"/>
      <c r="L851" s="131"/>
      <c r="M851" s="131"/>
      <c r="N851" s="131"/>
      <c r="O851" s="131"/>
      <c r="P851" s="131"/>
      <c r="Q851" s="131"/>
      <c r="R851" s="131"/>
      <c r="S851" s="131"/>
      <c r="T851" s="131"/>
      <c r="U851" s="131"/>
      <c r="V851" s="131"/>
      <c r="W851" s="131"/>
      <c r="X851" s="131"/>
      <c r="Y851" s="131"/>
      <c r="Z851" s="131"/>
      <c r="AA851" s="131"/>
      <c r="AB851" s="131"/>
      <c r="AC851" s="131"/>
    </row>
    <row r="852" spans="2:29" x14ac:dyDescent="0.2">
      <c r="B852" s="151"/>
      <c r="C852" s="152"/>
      <c r="H852" s="340"/>
      <c r="L852" s="131"/>
      <c r="M852" s="131"/>
      <c r="N852" s="131"/>
      <c r="O852" s="131"/>
      <c r="P852" s="131"/>
      <c r="Q852" s="131"/>
      <c r="R852" s="131"/>
      <c r="S852" s="131"/>
      <c r="T852" s="131"/>
      <c r="U852" s="131"/>
      <c r="V852" s="131"/>
      <c r="W852" s="131"/>
      <c r="X852" s="131"/>
      <c r="Y852" s="131"/>
      <c r="Z852" s="131"/>
      <c r="AA852" s="131"/>
      <c r="AB852" s="131"/>
      <c r="AC852" s="131"/>
    </row>
    <row r="853" spans="2:29" x14ac:dyDescent="0.2">
      <c r="B853" s="151"/>
      <c r="C853" s="152"/>
      <c r="H853" s="340"/>
      <c r="L853" s="131"/>
      <c r="M853" s="131"/>
      <c r="N853" s="131"/>
      <c r="O853" s="131"/>
      <c r="P853" s="131"/>
      <c r="Q853" s="131"/>
      <c r="R853" s="131"/>
      <c r="S853" s="131"/>
      <c r="T853" s="131"/>
      <c r="U853" s="131"/>
      <c r="V853" s="131"/>
      <c r="W853" s="131"/>
      <c r="X853" s="131"/>
      <c r="Y853" s="131"/>
      <c r="Z853" s="131"/>
      <c r="AA853" s="131"/>
      <c r="AB853" s="131"/>
      <c r="AC853" s="131"/>
    </row>
    <row r="854" spans="2:29" x14ac:dyDescent="0.2">
      <c r="B854" s="151"/>
      <c r="C854" s="152"/>
      <c r="H854" s="340"/>
      <c r="L854" s="131"/>
      <c r="M854" s="131"/>
      <c r="N854" s="131"/>
      <c r="O854" s="131"/>
      <c r="P854" s="131"/>
      <c r="Q854" s="131"/>
      <c r="R854" s="131"/>
      <c r="S854" s="131"/>
      <c r="T854" s="131"/>
      <c r="U854" s="131"/>
      <c r="V854" s="131"/>
      <c r="W854" s="131"/>
      <c r="X854" s="131"/>
      <c r="Y854" s="131"/>
      <c r="Z854" s="131"/>
      <c r="AA854" s="131"/>
      <c r="AB854" s="131"/>
      <c r="AC854" s="131"/>
    </row>
    <row r="855" spans="2:29" x14ac:dyDescent="0.2">
      <c r="B855" s="151"/>
      <c r="C855" s="152"/>
      <c r="H855" s="340"/>
      <c r="L855" s="131"/>
      <c r="M855" s="131"/>
      <c r="N855" s="131"/>
      <c r="O855" s="131"/>
      <c r="P855" s="131"/>
      <c r="Q855" s="131"/>
      <c r="R855" s="131"/>
      <c r="S855" s="131"/>
      <c r="T855" s="131"/>
      <c r="U855" s="131"/>
      <c r="V855" s="131"/>
      <c r="W855" s="131"/>
      <c r="X855" s="131"/>
      <c r="Y855" s="131"/>
      <c r="Z855" s="131"/>
      <c r="AA855" s="131"/>
      <c r="AB855" s="131"/>
      <c r="AC855" s="131"/>
    </row>
    <row r="856" spans="2:29" x14ac:dyDescent="0.2">
      <c r="B856" s="151"/>
      <c r="C856" s="152"/>
      <c r="H856" s="340"/>
      <c r="L856" s="131"/>
      <c r="M856" s="131"/>
      <c r="N856" s="131"/>
      <c r="O856" s="131"/>
      <c r="P856" s="131"/>
      <c r="Q856" s="131"/>
      <c r="R856" s="131"/>
      <c r="S856" s="131"/>
      <c r="T856" s="131"/>
      <c r="U856" s="131"/>
      <c r="V856" s="131"/>
      <c r="W856" s="131"/>
      <c r="X856" s="131"/>
      <c r="Y856" s="131"/>
      <c r="Z856" s="131"/>
      <c r="AA856" s="131"/>
      <c r="AB856" s="131"/>
      <c r="AC856" s="131"/>
    </row>
    <row r="857" spans="2:29" x14ac:dyDescent="0.2">
      <c r="B857" s="151"/>
      <c r="C857" s="152"/>
      <c r="H857" s="340"/>
      <c r="L857" s="131"/>
      <c r="M857" s="131"/>
      <c r="N857" s="131"/>
      <c r="O857" s="131"/>
      <c r="P857" s="131"/>
      <c r="Q857" s="131"/>
      <c r="R857" s="131"/>
      <c r="S857" s="131"/>
      <c r="T857" s="131"/>
      <c r="U857" s="131"/>
      <c r="V857" s="131"/>
      <c r="W857" s="131"/>
      <c r="X857" s="131"/>
      <c r="Y857" s="131"/>
      <c r="Z857" s="131"/>
      <c r="AA857" s="131"/>
      <c r="AB857" s="131"/>
      <c r="AC857" s="131"/>
    </row>
    <row r="858" spans="2:29" x14ac:dyDescent="0.2">
      <c r="B858" s="151"/>
      <c r="C858" s="152"/>
      <c r="H858" s="340"/>
      <c r="L858" s="131"/>
      <c r="M858" s="131"/>
      <c r="N858" s="131"/>
      <c r="O858" s="131"/>
      <c r="P858" s="131"/>
      <c r="Q858" s="131"/>
      <c r="R858" s="131"/>
      <c r="S858" s="131"/>
      <c r="T858" s="131"/>
      <c r="U858" s="131"/>
      <c r="V858" s="131"/>
      <c r="W858" s="131"/>
      <c r="X858" s="131"/>
      <c r="Y858" s="131"/>
      <c r="Z858" s="131"/>
      <c r="AA858" s="131"/>
      <c r="AB858" s="131"/>
      <c r="AC858" s="131"/>
    </row>
    <row r="859" spans="2:29" x14ac:dyDescent="0.2">
      <c r="B859" s="151"/>
      <c r="C859" s="152"/>
      <c r="H859" s="340"/>
      <c r="L859" s="131"/>
      <c r="M859" s="131"/>
      <c r="N859" s="131"/>
      <c r="O859" s="131"/>
      <c r="P859" s="131"/>
      <c r="Q859" s="131"/>
      <c r="R859" s="131"/>
      <c r="S859" s="131"/>
      <c r="T859" s="131"/>
      <c r="U859" s="131"/>
      <c r="V859" s="131"/>
      <c r="W859" s="131"/>
      <c r="X859" s="131"/>
      <c r="Y859" s="131"/>
      <c r="Z859" s="131"/>
      <c r="AA859" s="131"/>
      <c r="AB859" s="131"/>
      <c r="AC859" s="131"/>
    </row>
    <row r="860" spans="2:29" x14ac:dyDescent="0.2">
      <c r="B860" s="151"/>
      <c r="C860" s="152"/>
      <c r="H860" s="340"/>
      <c r="L860" s="131"/>
      <c r="M860" s="131"/>
      <c r="N860" s="131"/>
      <c r="O860" s="131"/>
      <c r="P860" s="131"/>
      <c r="Q860" s="131"/>
      <c r="R860" s="131"/>
      <c r="S860" s="131"/>
      <c r="T860" s="131"/>
      <c r="U860" s="131"/>
      <c r="V860" s="131"/>
      <c r="W860" s="131"/>
      <c r="X860" s="131"/>
      <c r="Y860" s="131"/>
      <c r="Z860" s="131"/>
      <c r="AA860" s="131"/>
      <c r="AB860" s="131"/>
      <c r="AC860" s="131"/>
    </row>
    <row r="861" spans="2:29" x14ac:dyDescent="0.2">
      <c r="B861" s="151"/>
      <c r="C861" s="152"/>
      <c r="H861" s="340"/>
      <c r="L861" s="131"/>
      <c r="M861" s="131"/>
      <c r="N861" s="131"/>
      <c r="O861" s="131"/>
      <c r="P861" s="131"/>
      <c r="Q861" s="131"/>
      <c r="R861" s="131"/>
      <c r="S861" s="131"/>
      <c r="T861" s="131"/>
      <c r="U861" s="131"/>
      <c r="V861" s="131"/>
      <c r="W861" s="131"/>
      <c r="X861" s="131"/>
      <c r="Y861" s="131"/>
      <c r="Z861" s="131"/>
      <c r="AA861" s="131"/>
      <c r="AB861" s="131"/>
      <c r="AC861" s="131"/>
    </row>
    <row r="862" spans="2:29" x14ac:dyDescent="0.2">
      <c r="B862" s="151"/>
      <c r="C862" s="152"/>
      <c r="H862" s="340"/>
      <c r="L862" s="131"/>
      <c r="M862" s="131"/>
      <c r="N862" s="131"/>
      <c r="O862" s="131"/>
      <c r="P862" s="131"/>
      <c r="Q862" s="131"/>
      <c r="R862" s="131"/>
      <c r="S862" s="131"/>
      <c r="T862" s="131"/>
      <c r="U862" s="131"/>
      <c r="V862" s="131"/>
      <c r="W862" s="131"/>
      <c r="X862" s="131"/>
      <c r="Y862" s="131"/>
      <c r="Z862" s="131"/>
      <c r="AA862" s="131"/>
      <c r="AB862" s="131"/>
      <c r="AC862" s="131"/>
    </row>
    <row r="863" spans="2:29" x14ac:dyDescent="0.2">
      <c r="B863" s="151"/>
      <c r="C863" s="152"/>
      <c r="H863" s="340"/>
      <c r="L863" s="131"/>
      <c r="M863" s="131"/>
      <c r="N863" s="131"/>
      <c r="O863" s="131"/>
      <c r="P863" s="131"/>
      <c r="Q863" s="131"/>
      <c r="R863" s="131"/>
      <c r="S863" s="131"/>
      <c r="T863" s="131"/>
      <c r="U863" s="131"/>
      <c r="V863" s="131"/>
      <c r="W863" s="131"/>
      <c r="X863" s="131"/>
      <c r="Y863" s="131"/>
      <c r="Z863" s="131"/>
      <c r="AA863" s="131"/>
      <c r="AB863" s="131"/>
      <c r="AC863" s="131"/>
    </row>
    <row r="864" spans="2:29" x14ac:dyDescent="0.2">
      <c r="B864" s="151"/>
      <c r="C864" s="152"/>
      <c r="H864" s="340"/>
      <c r="L864" s="131"/>
      <c r="M864" s="131"/>
      <c r="N864" s="131"/>
      <c r="O864" s="131"/>
      <c r="P864" s="131"/>
      <c r="Q864" s="131"/>
      <c r="R864" s="131"/>
      <c r="S864" s="131"/>
      <c r="T864" s="131"/>
      <c r="U864" s="131"/>
      <c r="V864" s="131"/>
      <c r="W864" s="131"/>
      <c r="X864" s="131"/>
      <c r="Y864" s="131"/>
      <c r="Z864" s="131"/>
      <c r="AA864" s="131"/>
      <c r="AB864" s="131"/>
      <c r="AC864" s="131"/>
    </row>
    <row r="865" spans="2:29" x14ac:dyDescent="0.2">
      <c r="B865" s="151"/>
      <c r="C865" s="152"/>
      <c r="H865" s="340"/>
      <c r="L865" s="131"/>
      <c r="M865" s="131"/>
      <c r="N865" s="131"/>
      <c r="O865" s="131"/>
      <c r="P865" s="131"/>
      <c r="Q865" s="131"/>
      <c r="R865" s="131"/>
      <c r="S865" s="131"/>
      <c r="T865" s="131"/>
      <c r="U865" s="131"/>
      <c r="V865" s="131"/>
      <c r="W865" s="131"/>
      <c r="X865" s="131"/>
      <c r="Y865" s="131"/>
      <c r="Z865" s="131"/>
      <c r="AA865" s="131"/>
      <c r="AB865" s="131"/>
      <c r="AC865" s="131"/>
    </row>
    <row r="866" spans="2:29" x14ac:dyDescent="0.2">
      <c r="B866" s="151"/>
      <c r="C866" s="152"/>
      <c r="H866" s="340"/>
      <c r="L866" s="131"/>
      <c r="M866" s="131"/>
      <c r="N866" s="131"/>
      <c r="O866" s="131"/>
      <c r="P866" s="131"/>
      <c r="Q866" s="131"/>
      <c r="R866" s="131"/>
      <c r="S866" s="131"/>
      <c r="T866" s="131"/>
      <c r="U866" s="131"/>
      <c r="V866" s="131"/>
      <c r="W866" s="131"/>
      <c r="X866" s="131"/>
      <c r="Y866" s="131"/>
      <c r="Z866" s="131"/>
      <c r="AA866" s="131"/>
      <c r="AB866" s="131"/>
      <c r="AC866" s="131"/>
    </row>
    <row r="867" spans="2:29" x14ac:dyDescent="0.2">
      <c r="B867" s="151"/>
      <c r="C867" s="152"/>
      <c r="H867" s="340"/>
      <c r="L867" s="131"/>
      <c r="M867" s="131"/>
      <c r="N867" s="131"/>
      <c r="O867" s="131"/>
      <c r="P867" s="131"/>
      <c r="Q867" s="131"/>
      <c r="R867" s="131"/>
      <c r="S867" s="131"/>
      <c r="T867" s="131"/>
      <c r="U867" s="131"/>
      <c r="V867" s="131"/>
      <c r="W867" s="131"/>
      <c r="X867" s="131"/>
      <c r="Y867" s="131"/>
      <c r="Z867" s="131"/>
      <c r="AA867" s="131"/>
      <c r="AB867" s="131"/>
      <c r="AC867" s="131"/>
    </row>
    <row r="868" spans="2:29" x14ac:dyDescent="0.2">
      <c r="B868" s="151"/>
      <c r="C868" s="152"/>
      <c r="H868" s="340"/>
      <c r="L868" s="131"/>
      <c r="M868" s="131"/>
      <c r="N868" s="131"/>
      <c r="O868" s="131"/>
      <c r="P868" s="131"/>
      <c r="Q868" s="131"/>
      <c r="R868" s="131"/>
      <c r="S868" s="131"/>
      <c r="T868" s="131"/>
      <c r="U868" s="131"/>
      <c r="V868" s="131"/>
      <c r="W868" s="131"/>
      <c r="X868" s="131"/>
      <c r="Y868" s="131"/>
      <c r="Z868" s="131"/>
      <c r="AA868" s="131"/>
      <c r="AB868" s="131"/>
      <c r="AC868" s="131"/>
    </row>
    <row r="869" spans="2:29" x14ac:dyDescent="0.2">
      <c r="B869" s="151"/>
      <c r="C869" s="152"/>
      <c r="H869" s="340"/>
      <c r="L869" s="131"/>
      <c r="M869" s="131"/>
      <c r="N869" s="131"/>
      <c r="O869" s="131"/>
      <c r="P869" s="131"/>
      <c r="Q869" s="131"/>
      <c r="R869" s="131"/>
      <c r="S869" s="131"/>
      <c r="T869" s="131"/>
      <c r="U869" s="131"/>
      <c r="V869" s="131"/>
      <c r="W869" s="131"/>
      <c r="X869" s="131"/>
      <c r="Y869" s="131"/>
      <c r="Z869" s="131"/>
      <c r="AA869" s="131"/>
      <c r="AB869" s="131"/>
      <c r="AC869" s="131"/>
    </row>
    <row r="870" spans="2:29" x14ac:dyDescent="0.2">
      <c r="B870" s="151"/>
      <c r="C870" s="152"/>
      <c r="H870" s="340"/>
      <c r="L870" s="131"/>
      <c r="M870" s="131"/>
      <c r="N870" s="131"/>
      <c r="O870" s="131"/>
      <c r="P870" s="131"/>
      <c r="Q870" s="131"/>
      <c r="R870" s="131"/>
      <c r="S870" s="131"/>
      <c r="T870" s="131"/>
      <c r="U870" s="131"/>
      <c r="V870" s="131"/>
      <c r="W870" s="131"/>
      <c r="X870" s="131"/>
      <c r="Y870" s="131"/>
      <c r="Z870" s="131"/>
      <c r="AA870" s="131"/>
      <c r="AB870" s="131"/>
      <c r="AC870" s="131"/>
    </row>
    <row r="871" spans="2:29" x14ac:dyDescent="0.2">
      <c r="B871" s="151"/>
      <c r="C871" s="152"/>
      <c r="H871" s="340"/>
      <c r="L871" s="131"/>
      <c r="M871" s="131"/>
      <c r="N871" s="131"/>
      <c r="O871" s="131"/>
      <c r="P871" s="131"/>
      <c r="Q871" s="131"/>
      <c r="R871" s="131"/>
      <c r="S871" s="131"/>
      <c r="T871" s="131"/>
      <c r="U871" s="131"/>
      <c r="V871" s="131"/>
      <c r="W871" s="131"/>
      <c r="X871" s="131"/>
      <c r="Y871" s="131"/>
      <c r="Z871" s="131"/>
      <c r="AA871" s="131"/>
      <c r="AB871" s="131"/>
      <c r="AC871" s="131"/>
    </row>
    <row r="872" spans="2:29" x14ac:dyDescent="0.2">
      <c r="B872" s="151"/>
      <c r="C872" s="152"/>
      <c r="H872" s="340"/>
      <c r="L872" s="131"/>
      <c r="M872" s="131"/>
      <c r="N872" s="131"/>
      <c r="O872" s="131"/>
      <c r="P872" s="131"/>
      <c r="Q872" s="131"/>
      <c r="R872" s="131"/>
      <c r="S872" s="131"/>
      <c r="T872" s="131"/>
      <c r="U872" s="131"/>
      <c r="V872" s="131"/>
      <c r="W872" s="131"/>
      <c r="X872" s="131"/>
      <c r="Y872" s="131"/>
      <c r="Z872" s="131"/>
      <c r="AA872" s="131"/>
      <c r="AB872" s="131"/>
      <c r="AC872" s="131"/>
    </row>
    <row r="873" spans="2:29" x14ac:dyDescent="0.2">
      <c r="B873" s="151"/>
      <c r="C873" s="152"/>
      <c r="H873" s="340"/>
      <c r="L873" s="131"/>
      <c r="M873" s="131"/>
      <c r="N873" s="131"/>
      <c r="O873" s="131"/>
      <c r="P873" s="131"/>
      <c r="Q873" s="131"/>
      <c r="R873" s="131"/>
      <c r="S873" s="131"/>
      <c r="T873" s="131"/>
      <c r="U873" s="131"/>
      <c r="V873" s="131"/>
      <c r="W873" s="131"/>
      <c r="X873" s="131"/>
      <c r="Y873" s="131"/>
      <c r="Z873" s="131"/>
      <c r="AA873" s="131"/>
      <c r="AB873" s="131"/>
      <c r="AC873" s="131"/>
    </row>
    <row r="874" spans="2:29" x14ac:dyDescent="0.2">
      <c r="B874" s="151"/>
      <c r="C874" s="152"/>
      <c r="H874" s="340"/>
      <c r="L874" s="131"/>
      <c r="M874" s="131"/>
      <c r="N874" s="131"/>
      <c r="O874" s="131"/>
      <c r="P874" s="131"/>
      <c r="Q874" s="131"/>
      <c r="R874" s="131"/>
      <c r="S874" s="131"/>
      <c r="T874" s="131"/>
      <c r="U874" s="131"/>
      <c r="V874" s="131"/>
      <c r="W874" s="131"/>
      <c r="X874" s="131"/>
      <c r="Y874" s="131"/>
      <c r="Z874" s="131"/>
      <c r="AA874" s="131"/>
      <c r="AB874" s="131"/>
      <c r="AC874" s="131"/>
    </row>
    <row r="875" spans="2:29" x14ac:dyDescent="0.2">
      <c r="B875" s="151"/>
      <c r="C875" s="152"/>
      <c r="H875" s="340"/>
      <c r="L875" s="131"/>
      <c r="M875" s="131"/>
      <c r="N875" s="131"/>
      <c r="O875" s="131"/>
      <c r="P875" s="131"/>
      <c r="Q875" s="131"/>
      <c r="R875" s="131"/>
      <c r="S875" s="131"/>
      <c r="T875" s="131"/>
      <c r="U875" s="131"/>
      <c r="V875" s="131"/>
      <c r="W875" s="131"/>
      <c r="X875" s="131"/>
      <c r="Y875" s="131"/>
      <c r="Z875" s="131"/>
      <c r="AA875" s="131"/>
      <c r="AB875" s="131"/>
      <c r="AC875" s="131"/>
    </row>
    <row r="876" spans="2:29" x14ac:dyDescent="0.2">
      <c r="B876" s="151"/>
      <c r="C876" s="152"/>
      <c r="H876" s="340"/>
      <c r="L876" s="131"/>
      <c r="M876" s="131"/>
      <c r="N876" s="131"/>
      <c r="O876" s="131"/>
      <c r="P876" s="131"/>
      <c r="Q876" s="131"/>
      <c r="R876" s="131"/>
      <c r="S876" s="131"/>
      <c r="T876" s="131"/>
      <c r="U876" s="131"/>
      <c r="V876" s="131"/>
      <c r="W876" s="131"/>
      <c r="X876" s="131"/>
      <c r="Y876" s="131"/>
      <c r="Z876" s="131"/>
      <c r="AA876" s="131"/>
      <c r="AB876" s="131"/>
      <c r="AC876" s="131"/>
    </row>
    <row r="877" spans="2:29" x14ac:dyDescent="0.2">
      <c r="B877" s="151"/>
      <c r="C877" s="152"/>
      <c r="H877" s="340"/>
      <c r="L877" s="131"/>
      <c r="M877" s="131"/>
      <c r="N877" s="131"/>
      <c r="O877" s="131"/>
      <c r="P877" s="131"/>
      <c r="Q877" s="131"/>
      <c r="R877" s="131"/>
      <c r="S877" s="131"/>
      <c r="T877" s="131"/>
      <c r="U877" s="131"/>
      <c r="V877" s="131"/>
      <c r="W877" s="131"/>
      <c r="X877" s="131"/>
      <c r="Y877" s="131"/>
      <c r="Z877" s="131"/>
      <c r="AA877" s="131"/>
      <c r="AB877" s="131"/>
      <c r="AC877" s="131"/>
    </row>
    <row r="878" spans="2:29" x14ac:dyDescent="0.2">
      <c r="B878" s="151"/>
      <c r="C878" s="152"/>
      <c r="H878" s="340"/>
      <c r="L878" s="131"/>
      <c r="M878" s="131"/>
      <c r="N878" s="131"/>
      <c r="O878" s="131"/>
      <c r="P878" s="131"/>
      <c r="Q878" s="131"/>
      <c r="R878" s="131"/>
      <c r="S878" s="131"/>
      <c r="T878" s="131"/>
      <c r="U878" s="131"/>
      <c r="V878" s="131"/>
      <c r="W878" s="131"/>
      <c r="X878" s="131"/>
      <c r="Y878" s="131"/>
      <c r="Z878" s="131"/>
      <c r="AA878" s="131"/>
      <c r="AB878" s="131"/>
      <c r="AC878" s="131"/>
    </row>
    <row r="879" spans="2:29" x14ac:dyDescent="0.2">
      <c r="B879" s="151"/>
      <c r="C879" s="152"/>
      <c r="H879" s="340"/>
      <c r="L879" s="131"/>
      <c r="M879" s="131"/>
      <c r="N879" s="131"/>
      <c r="O879" s="131"/>
      <c r="P879" s="131"/>
      <c r="Q879" s="131"/>
      <c r="R879" s="131"/>
      <c r="S879" s="131"/>
      <c r="T879" s="131"/>
      <c r="U879" s="131"/>
      <c r="V879" s="131"/>
      <c r="W879" s="131"/>
      <c r="X879" s="131"/>
      <c r="Y879" s="131"/>
      <c r="Z879" s="131"/>
      <c r="AA879" s="131"/>
      <c r="AB879" s="131"/>
      <c r="AC879" s="131"/>
    </row>
    <row r="880" spans="2:29" x14ac:dyDescent="0.2">
      <c r="B880" s="151"/>
      <c r="C880" s="152"/>
      <c r="H880" s="340"/>
      <c r="L880" s="131"/>
      <c r="M880" s="131"/>
      <c r="N880" s="131"/>
      <c r="O880" s="131"/>
      <c r="P880" s="131"/>
      <c r="Q880" s="131"/>
      <c r="R880" s="131"/>
      <c r="S880" s="131"/>
      <c r="T880" s="131"/>
      <c r="U880" s="131"/>
      <c r="V880" s="131"/>
      <c r="W880" s="131"/>
      <c r="X880" s="131"/>
      <c r="Y880" s="131"/>
      <c r="Z880" s="131"/>
      <c r="AA880" s="131"/>
      <c r="AB880" s="131"/>
      <c r="AC880" s="131"/>
    </row>
    <row r="881" spans="2:29" x14ac:dyDescent="0.2">
      <c r="B881" s="151"/>
      <c r="C881" s="152"/>
      <c r="H881" s="340"/>
      <c r="L881" s="131"/>
      <c r="M881" s="131"/>
      <c r="N881" s="131"/>
      <c r="O881" s="131"/>
      <c r="P881" s="131"/>
      <c r="Q881" s="131"/>
      <c r="R881" s="131"/>
      <c r="S881" s="131"/>
      <c r="T881" s="131"/>
      <c r="U881" s="131"/>
      <c r="V881" s="131"/>
      <c r="W881" s="131"/>
      <c r="X881" s="131"/>
      <c r="Y881" s="131"/>
      <c r="Z881" s="131"/>
      <c r="AA881" s="131"/>
      <c r="AB881" s="131"/>
      <c r="AC881" s="131"/>
    </row>
    <row r="882" spans="2:29" x14ac:dyDescent="0.2">
      <c r="B882" s="151"/>
      <c r="C882" s="152"/>
      <c r="H882" s="340"/>
      <c r="L882" s="131"/>
      <c r="M882" s="131"/>
      <c r="N882" s="131"/>
      <c r="O882" s="131"/>
      <c r="P882" s="131"/>
      <c r="Q882" s="131"/>
      <c r="R882" s="131"/>
      <c r="S882" s="131"/>
      <c r="T882" s="131"/>
      <c r="U882" s="131"/>
      <c r="V882" s="131"/>
      <c r="W882" s="131"/>
      <c r="X882" s="131"/>
      <c r="Y882" s="131"/>
      <c r="Z882" s="131"/>
      <c r="AA882" s="131"/>
      <c r="AB882" s="131"/>
      <c r="AC882" s="131"/>
    </row>
    <row r="883" spans="2:29" x14ac:dyDescent="0.2">
      <c r="B883" s="151"/>
      <c r="C883" s="152"/>
      <c r="H883" s="340"/>
      <c r="L883" s="131"/>
      <c r="M883" s="131"/>
      <c r="N883" s="131"/>
      <c r="O883" s="131"/>
      <c r="P883" s="131"/>
      <c r="Q883" s="131"/>
      <c r="R883" s="131"/>
      <c r="S883" s="131"/>
      <c r="T883" s="131"/>
      <c r="U883" s="131"/>
      <c r="V883" s="131"/>
      <c r="W883" s="131"/>
      <c r="X883" s="131"/>
      <c r="Y883" s="131"/>
      <c r="Z883" s="131"/>
      <c r="AA883" s="131"/>
      <c r="AB883" s="131"/>
      <c r="AC883" s="131"/>
    </row>
    <row r="884" spans="2:29" x14ac:dyDescent="0.2">
      <c r="B884" s="151"/>
      <c r="C884" s="152"/>
      <c r="H884" s="340"/>
      <c r="L884" s="131"/>
      <c r="M884" s="131"/>
      <c r="N884" s="131"/>
      <c r="O884" s="131"/>
      <c r="P884" s="131"/>
      <c r="Q884" s="131"/>
      <c r="R884" s="131"/>
      <c r="S884" s="131"/>
      <c r="T884" s="131"/>
      <c r="U884" s="131"/>
      <c r="V884" s="131"/>
      <c r="W884" s="131"/>
      <c r="X884" s="131"/>
      <c r="Y884" s="131"/>
      <c r="Z884" s="131"/>
      <c r="AA884" s="131"/>
      <c r="AB884" s="131"/>
      <c r="AC884" s="131"/>
    </row>
    <row r="885" spans="2:29" x14ac:dyDescent="0.2">
      <c r="B885" s="151"/>
      <c r="C885" s="152"/>
      <c r="H885" s="340"/>
      <c r="L885" s="131"/>
      <c r="M885" s="131"/>
      <c r="N885" s="131"/>
      <c r="O885" s="131"/>
      <c r="P885" s="131"/>
      <c r="Q885" s="131"/>
      <c r="R885" s="131"/>
      <c r="S885" s="131"/>
      <c r="T885" s="131"/>
      <c r="U885" s="131"/>
      <c r="V885" s="131"/>
      <c r="W885" s="131"/>
      <c r="X885" s="131"/>
      <c r="Y885" s="131"/>
      <c r="Z885" s="131"/>
      <c r="AA885" s="131"/>
      <c r="AB885" s="131"/>
      <c r="AC885" s="131"/>
    </row>
    <row r="886" spans="2:29" x14ac:dyDescent="0.2">
      <c r="B886" s="151"/>
      <c r="C886" s="152"/>
      <c r="H886" s="340"/>
      <c r="L886" s="131"/>
      <c r="M886" s="131"/>
      <c r="N886" s="131"/>
      <c r="O886" s="131"/>
      <c r="P886" s="131"/>
      <c r="Q886" s="131"/>
      <c r="R886" s="131"/>
      <c r="S886" s="131"/>
      <c r="T886" s="131"/>
      <c r="U886" s="131"/>
      <c r="V886" s="131"/>
      <c r="W886" s="131"/>
      <c r="X886" s="131"/>
      <c r="Y886" s="131"/>
      <c r="Z886" s="131"/>
      <c r="AA886" s="131"/>
      <c r="AB886" s="131"/>
      <c r="AC886" s="131"/>
    </row>
    <row r="887" spans="2:29" x14ac:dyDescent="0.2">
      <c r="B887" s="151"/>
      <c r="C887" s="152"/>
      <c r="H887" s="340"/>
      <c r="L887" s="131"/>
      <c r="M887" s="131"/>
      <c r="N887" s="131"/>
      <c r="O887" s="131"/>
      <c r="P887" s="131"/>
      <c r="Q887" s="131"/>
      <c r="R887" s="131"/>
      <c r="S887" s="131"/>
      <c r="T887" s="131"/>
      <c r="U887" s="131"/>
      <c r="V887" s="131"/>
      <c r="W887" s="131"/>
      <c r="X887" s="131"/>
      <c r="Y887" s="131"/>
      <c r="Z887" s="131"/>
      <c r="AA887" s="131"/>
      <c r="AB887" s="131"/>
      <c r="AC887" s="131"/>
    </row>
    <row r="888" spans="2:29" x14ac:dyDescent="0.2">
      <c r="B888" s="151"/>
      <c r="C888" s="152"/>
      <c r="H888" s="340"/>
      <c r="L888" s="131"/>
      <c r="M888" s="131"/>
      <c r="N888" s="131"/>
      <c r="O888" s="131"/>
      <c r="P888" s="131"/>
      <c r="Q888" s="131"/>
      <c r="R888" s="131"/>
      <c r="S888" s="131"/>
      <c r="T888" s="131"/>
      <c r="U888" s="131"/>
      <c r="V888" s="131"/>
      <c r="W888" s="131"/>
      <c r="X888" s="131"/>
      <c r="Y888" s="131"/>
      <c r="Z888" s="131"/>
      <c r="AA888" s="131"/>
      <c r="AB888" s="131"/>
      <c r="AC888" s="131"/>
    </row>
    <row r="889" spans="2:29" x14ac:dyDescent="0.2">
      <c r="B889" s="151"/>
      <c r="C889" s="152"/>
      <c r="H889" s="340"/>
      <c r="L889" s="131"/>
      <c r="M889" s="131"/>
      <c r="N889" s="131"/>
      <c r="O889" s="131"/>
      <c r="P889" s="131"/>
      <c r="Q889" s="131"/>
      <c r="R889" s="131"/>
      <c r="S889" s="131"/>
      <c r="T889" s="131"/>
      <c r="U889" s="131"/>
      <c r="V889" s="131"/>
      <c r="W889" s="131"/>
      <c r="X889" s="131"/>
      <c r="Y889" s="131"/>
      <c r="Z889" s="131"/>
      <c r="AA889" s="131"/>
      <c r="AB889" s="131"/>
      <c r="AC889" s="131"/>
    </row>
    <row r="890" spans="2:29" x14ac:dyDescent="0.2">
      <c r="B890" s="151"/>
      <c r="C890" s="152"/>
      <c r="H890" s="340"/>
      <c r="L890" s="131"/>
      <c r="M890" s="131"/>
      <c r="N890" s="131"/>
      <c r="O890" s="131"/>
      <c r="P890" s="131"/>
      <c r="Q890" s="131"/>
      <c r="R890" s="131"/>
      <c r="S890" s="131"/>
      <c r="T890" s="131"/>
      <c r="U890" s="131"/>
      <c r="V890" s="131"/>
      <c r="W890" s="131"/>
      <c r="X890" s="131"/>
      <c r="Y890" s="131"/>
      <c r="Z890" s="131"/>
      <c r="AA890" s="131"/>
      <c r="AB890" s="131"/>
      <c r="AC890" s="131"/>
    </row>
    <row r="891" spans="2:29" x14ac:dyDescent="0.2">
      <c r="B891" s="151"/>
      <c r="C891" s="152"/>
      <c r="H891" s="340"/>
      <c r="L891" s="131"/>
      <c r="M891" s="131"/>
      <c r="N891" s="131"/>
      <c r="O891" s="131"/>
      <c r="P891" s="131"/>
      <c r="Q891" s="131"/>
      <c r="R891" s="131"/>
      <c r="S891" s="131"/>
      <c r="T891" s="131"/>
      <c r="U891" s="131"/>
      <c r="V891" s="131"/>
      <c r="W891" s="131"/>
      <c r="X891" s="131"/>
      <c r="Y891" s="131"/>
      <c r="Z891" s="131"/>
      <c r="AA891" s="131"/>
      <c r="AB891" s="131"/>
      <c r="AC891" s="131"/>
    </row>
    <row r="892" spans="2:29" x14ac:dyDescent="0.2">
      <c r="B892" s="151"/>
      <c r="C892" s="152"/>
      <c r="H892" s="340"/>
      <c r="L892" s="131"/>
      <c r="M892" s="131"/>
      <c r="N892" s="131"/>
      <c r="O892" s="131"/>
      <c r="P892" s="131"/>
      <c r="Q892" s="131"/>
      <c r="R892" s="131"/>
      <c r="S892" s="131"/>
      <c r="T892" s="131"/>
      <c r="U892" s="131"/>
      <c r="V892" s="131"/>
      <c r="W892" s="131"/>
      <c r="X892" s="131"/>
      <c r="Y892" s="131"/>
      <c r="Z892" s="131"/>
      <c r="AA892" s="131"/>
      <c r="AB892" s="131"/>
      <c r="AC892" s="131"/>
    </row>
    <row r="893" spans="2:29" x14ac:dyDescent="0.2">
      <c r="B893" s="151"/>
      <c r="C893" s="152"/>
      <c r="H893" s="340"/>
      <c r="L893" s="131"/>
      <c r="M893" s="131"/>
      <c r="N893" s="131"/>
      <c r="O893" s="131"/>
      <c r="P893" s="131"/>
      <c r="Q893" s="131"/>
      <c r="R893" s="131"/>
      <c r="S893" s="131"/>
      <c r="T893" s="131"/>
      <c r="U893" s="131"/>
      <c r="V893" s="131"/>
      <c r="W893" s="131"/>
      <c r="X893" s="131"/>
      <c r="Y893" s="131"/>
      <c r="Z893" s="131"/>
      <c r="AA893" s="131"/>
      <c r="AB893" s="131"/>
      <c r="AC893" s="131"/>
    </row>
    <row r="894" spans="2:29" x14ac:dyDescent="0.2">
      <c r="B894" s="151"/>
      <c r="C894" s="152"/>
      <c r="H894" s="340"/>
      <c r="L894" s="131"/>
      <c r="M894" s="131"/>
      <c r="N894" s="131"/>
      <c r="O894" s="131"/>
      <c r="P894" s="131"/>
      <c r="Q894" s="131"/>
      <c r="R894" s="131"/>
      <c r="S894" s="131"/>
      <c r="T894" s="131"/>
      <c r="U894" s="131"/>
      <c r="V894" s="131"/>
      <c r="W894" s="131"/>
      <c r="X894" s="131"/>
      <c r="Y894" s="131"/>
      <c r="Z894" s="131"/>
      <c r="AA894" s="131"/>
      <c r="AB894" s="131"/>
      <c r="AC894" s="131"/>
    </row>
    <row r="895" spans="2:29" x14ac:dyDescent="0.2">
      <c r="B895" s="151"/>
      <c r="C895" s="152"/>
      <c r="H895" s="340"/>
      <c r="L895" s="131"/>
      <c r="M895" s="131"/>
      <c r="N895" s="131"/>
      <c r="O895" s="131"/>
      <c r="P895" s="131"/>
      <c r="Q895" s="131"/>
      <c r="R895" s="131"/>
      <c r="S895" s="131"/>
      <c r="T895" s="131"/>
      <c r="U895" s="131"/>
      <c r="V895" s="131"/>
      <c r="W895" s="131"/>
      <c r="X895" s="131"/>
      <c r="Y895" s="131"/>
      <c r="Z895" s="131"/>
      <c r="AA895" s="131"/>
      <c r="AB895" s="131"/>
      <c r="AC895" s="131"/>
    </row>
    <row r="896" spans="2:29" x14ac:dyDescent="0.2">
      <c r="B896" s="151"/>
      <c r="C896" s="152"/>
      <c r="H896" s="340"/>
      <c r="L896" s="131"/>
      <c r="M896" s="131"/>
      <c r="N896" s="131"/>
      <c r="O896" s="131"/>
      <c r="P896" s="131"/>
      <c r="Q896" s="131"/>
      <c r="R896" s="131"/>
      <c r="S896" s="131"/>
      <c r="T896" s="131"/>
      <c r="U896" s="131"/>
      <c r="V896" s="131"/>
      <c r="W896" s="131"/>
      <c r="X896" s="131"/>
      <c r="Y896" s="131"/>
      <c r="Z896" s="131"/>
      <c r="AA896" s="131"/>
      <c r="AB896" s="131"/>
      <c r="AC896" s="131"/>
    </row>
    <row r="897" spans="2:29" x14ac:dyDescent="0.2">
      <c r="B897" s="151"/>
      <c r="C897" s="152"/>
      <c r="H897" s="340"/>
      <c r="L897" s="131"/>
      <c r="M897" s="131"/>
      <c r="N897" s="131"/>
      <c r="O897" s="131"/>
      <c r="P897" s="131"/>
      <c r="Q897" s="131"/>
      <c r="R897" s="131"/>
      <c r="S897" s="131"/>
      <c r="T897" s="131"/>
      <c r="U897" s="131"/>
      <c r="V897" s="131"/>
      <c r="W897" s="131"/>
      <c r="X897" s="131"/>
      <c r="Y897" s="131"/>
      <c r="Z897" s="131"/>
      <c r="AA897" s="131"/>
      <c r="AB897" s="131"/>
      <c r="AC897" s="131"/>
    </row>
    <row r="898" spans="2:29" x14ac:dyDescent="0.2">
      <c r="B898" s="151"/>
      <c r="C898" s="152"/>
      <c r="H898" s="340"/>
      <c r="L898" s="131"/>
      <c r="M898" s="131"/>
      <c r="N898" s="131"/>
      <c r="O898" s="131"/>
      <c r="P898" s="131"/>
      <c r="Q898" s="131"/>
      <c r="R898" s="131"/>
      <c r="S898" s="131"/>
      <c r="T898" s="131"/>
      <c r="U898" s="131"/>
      <c r="V898" s="131"/>
      <c r="W898" s="131"/>
      <c r="X898" s="131"/>
      <c r="Y898" s="131"/>
      <c r="Z898" s="131"/>
      <c r="AA898" s="131"/>
      <c r="AB898" s="131"/>
      <c r="AC898" s="131"/>
    </row>
    <row r="899" spans="2:29" x14ac:dyDescent="0.2">
      <c r="B899" s="151"/>
      <c r="C899" s="152"/>
      <c r="H899" s="340"/>
      <c r="L899" s="131"/>
      <c r="M899" s="131"/>
      <c r="N899" s="131"/>
      <c r="O899" s="131"/>
      <c r="P899" s="131"/>
      <c r="Q899" s="131"/>
      <c r="R899" s="131"/>
      <c r="S899" s="131"/>
      <c r="T899" s="131"/>
      <c r="U899" s="131"/>
      <c r="V899" s="131"/>
      <c r="W899" s="131"/>
      <c r="X899" s="131"/>
      <c r="Y899" s="131"/>
      <c r="Z899" s="131"/>
      <c r="AA899" s="131"/>
      <c r="AB899" s="131"/>
      <c r="AC899" s="131"/>
    </row>
    <row r="900" spans="2:29" x14ac:dyDescent="0.2">
      <c r="B900" s="151"/>
      <c r="C900" s="152"/>
      <c r="H900" s="340"/>
      <c r="L900" s="131"/>
      <c r="M900" s="131"/>
      <c r="N900" s="131"/>
      <c r="O900" s="131"/>
      <c r="P900" s="131"/>
      <c r="Q900" s="131"/>
      <c r="R900" s="131"/>
      <c r="S900" s="131"/>
      <c r="T900" s="131"/>
      <c r="U900" s="131"/>
      <c r="V900" s="131"/>
      <c r="W900" s="131"/>
      <c r="X900" s="131"/>
      <c r="Y900" s="131"/>
      <c r="Z900" s="131"/>
      <c r="AA900" s="131"/>
      <c r="AB900" s="131"/>
      <c r="AC900" s="131"/>
    </row>
    <row r="901" spans="2:29" x14ac:dyDescent="0.2">
      <c r="B901" s="151"/>
      <c r="C901" s="152"/>
      <c r="H901" s="340"/>
      <c r="L901" s="131"/>
      <c r="M901" s="131"/>
      <c r="N901" s="131"/>
      <c r="O901" s="131"/>
      <c r="P901" s="131"/>
      <c r="Q901" s="131"/>
      <c r="R901" s="131"/>
      <c r="S901" s="131"/>
      <c r="T901" s="131"/>
      <c r="U901" s="131"/>
      <c r="V901" s="131"/>
      <c r="W901" s="131"/>
      <c r="X901" s="131"/>
      <c r="Y901" s="131"/>
      <c r="Z901" s="131"/>
      <c r="AA901" s="131"/>
      <c r="AB901" s="131"/>
      <c r="AC901" s="131"/>
    </row>
    <row r="902" spans="2:29" x14ac:dyDescent="0.2">
      <c r="B902" s="151"/>
      <c r="C902" s="152"/>
      <c r="H902" s="340"/>
      <c r="L902" s="131"/>
      <c r="M902" s="131"/>
      <c r="N902" s="131"/>
      <c r="O902" s="131"/>
      <c r="P902" s="131"/>
      <c r="Q902" s="131"/>
      <c r="R902" s="131"/>
      <c r="S902" s="131"/>
      <c r="T902" s="131"/>
      <c r="U902" s="131"/>
      <c r="V902" s="131"/>
      <c r="W902" s="131"/>
      <c r="X902" s="131"/>
      <c r="Y902" s="131"/>
      <c r="Z902" s="131"/>
      <c r="AA902" s="131"/>
      <c r="AB902" s="131"/>
      <c r="AC902" s="131"/>
    </row>
    <row r="903" spans="2:29" x14ac:dyDescent="0.2">
      <c r="B903" s="151"/>
      <c r="C903" s="152"/>
      <c r="H903" s="340"/>
      <c r="L903" s="131"/>
      <c r="M903" s="131"/>
      <c r="N903" s="131"/>
      <c r="O903" s="131"/>
      <c r="P903" s="131"/>
      <c r="Q903" s="131"/>
      <c r="R903" s="131"/>
      <c r="S903" s="131"/>
      <c r="T903" s="131"/>
      <c r="U903" s="131"/>
      <c r="V903" s="131"/>
      <c r="W903" s="131"/>
      <c r="X903" s="131"/>
      <c r="Y903" s="131"/>
      <c r="Z903" s="131"/>
      <c r="AA903" s="131"/>
      <c r="AB903" s="131"/>
      <c r="AC903" s="131"/>
    </row>
    <row r="904" spans="2:29" x14ac:dyDescent="0.2">
      <c r="B904" s="151"/>
      <c r="C904" s="152"/>
      <c r="H904" s="340"/>
      <c r="L904" s="131"/>
      <c r="M904" s="131"/>
      <c r="N904" s="131"/>
      <c r="O904" s="131"/>
      <c r="P904" s="131"/>
      <c r="Q904" s="131"/>
      <c r="R904" s="131"/>
      <c r="S904" s="131"/>
      <c r="T904" s="131"/>
      <c r="U904" s="131"/>
      <c r="V904" s="131"/>
      <c r="W904" s="131"/>
      <c r="X904" s="131"/>
      <c r="Y904" s="131"/>
      <c r="Z904" s="131"/>
      <c r="AA904" s="131"/>
      <c r="AB904" s="131"/>
      <c r="AC904" s="131"/>
    </row>
    <row r="905" spans="2:29" x14ac:dyDescent="0.2">
      <c r="B905" s="151"/>
      <c r="C905" s="152"/>
      <c r="H905" s="340"/>
      <c r="L905" s="131"/>
      <c r="M905" s="131"/>
      <c r="N905" s="131"/>
      <c r="O905" s="131"/>
      <c r="P905" s="131"/>
      <c r="Q905" s="131"/>
      <c r="R905" s="131"/>
      <c r="S905" s="131"/>
      <c r="T905" s="131"/>
      <c r="U905" s="131"/>
      <c r="V905" s="131"/>
      <c r="W905" s="131"/>
      <c r="X905" s="131"/>
      <c r="Y905" s="131"/>
      <c r="Z905" s="131"/>
      <c r="AA905" s="131"/>
      <c r="AB905" s="131"/>
      <c r="AC905" s="131"/>
    </row>
    <row r="906" spans="2:29" x14ac:dyDescent="0.2">
      <c r="B906" s="151"/>
      <c r="C906" s="152"/>
      <c r="H906" s="340"/>
      <c r="L906" s="131"/>
      <c r="M906" s="131"/>
      <c r="N906" s="131"/>
      <c r="O906" s="131"/>
      <c r="P906" s="131"/>
      <c r="Q906" s="131"/>
      <c r="R906" s="131"/>
      <c r="S906" s="131"/>
      <c r="T906" s="131"/>
      <c r="U906" s="131"/>
      <c r="V906" s="131"/>
      <c r="W906" s="131"/>
      <c r="X906" s="131"/>
      <c r="Y906" s="131"/>
      <c r="Z906" s="131"/>
      <c r="AA906" s="131"/>
      <c r="AB906" s="131"/>
      <c r="AC906" s="131"/>
    </row>
    <row r="907" spans="2:29" x14ac:dyDescent="0.2">
      <c r="B907" s="151"/>
      <c r="C907" s="152"/>
      <c r="H907" s="340"/>
      <c r="L907" s="131"/>
      <c r="M907" s="131"/>
      <c r="N907" s="131"/>
      <c r="O907" s="131"/>
      <c r="P907" s="131"/>
      <c r="Q907" s="131"/>
      <c r="R907" s="131"/>
      <c r="S907" s="131"/>
      <c r="T907" s="131"/>
      <c r="U907" s="131"/>
      <c r="V907" s="131"/>
      <c r="W907" s="131"/>
      <c r="X907" s="131"/>
      <c r="Y907" s="131"/>
      <c r="Z907" s="131"/>
      <c r="AA907" s="131"/>
      <c r="AB907" s="131"/>
      <c r="AC907" s="131"/>
    </row>
    <row r="908" spans="2:29" x14ac:dyDescent="0.2">
      <c r="B908" s="151"/>
      <c r="C908" s="152"/>
      <c r="H908" s="340"/>
      <c r="L908" s="131"/>
      <c r="M908" s="131"/>
      <c r="N908" s="131"/>
      <c r="O908" s="131"/>
      <c r="P908" s="131"/>
      <c r="Q908" s="131"/>
      <c r="R908" s="131"/>
      <c r="S908" s="131"/>
      <c r="T908" s="131"/>
      <c r="U908" s="131"/>
      <c r="V908" s="131"/>
      <c r="W908" s="131"/>
      <c r="X908" s="131"/>
      <c r="Y908" s="131"/>
      <c r="Z908" s="131"/>
      <c r="AA908" s="131"/>
      <c r="AB908" s="131"/>
      <c r="AC908" s="131"/>
    </row>
    <row r="909" spans="2:29" x14ac:dyDescent="0.2">
      <c r="B909" s="151"/>
      <c r="C909" s="152"/>
      <c r="H909" s="340"/>
      <c r="L909" s="131"/>
      <c r="M909" s="131"/>
      <c r="N909" s="131"/>
      <c r="O909" s="131"/>
      <c r="P909" s="131"/>
      <c r="Q909" s="131"/>
      <c r="R909" s="131"/>
      <c r="S909" s="131"/>
      <c r="T909" s="131"/>
      <c r="U909" s="131"/>
      <c r="V909" s="131"/>
      <c r="W909" s="131"/>
      <c r="X909" s="131"/>
      <c r="Y909" s="131"/>
      <c r="Z909" s="131"/>
      <c r="AA909" s="131"/>
      <c r="AB909" s="131"/>
      <c r="AC909" s="131"/>
    </row>
    <row r="910" spans="2:29" x14ac:dyDescent="0.2">
      <c r="B910" s="151"/>
      <c r="C910" s="152"/>
      <c r="H910" s="340"/>
      <c r="L910" s="131"/>
      <c r="M910" s="131"/>
      <c r="N910" s="131"/>
      <c r="O910" s="131"/>
      <c r="P910" s="131"/>
      <c r="Q910" s="131"/>
      <c r="R910" s="131"/>
      <c r="S910" s="131"/>
      <c r="T910" s="131"/>
      <c r="U910" s="131"/>
      <c r="V910" s="131"/>
      <c r="W910" s="131"/>
      <c r="X910" s="131"/>
      <c r="Y910" s="131"/>
      <c r="Z910" s="131"/>
      <c r="AA910" s="131"/>
      <c r="AB910" s="131"/>
      <c r="AC910" s="131"/>
    </row>
    <row r="911" spans="2:29" x14ac:dyDescent="0.2">
      <c r="B911" s="151"/>
      <c r="C911" s="152"/>
      <c r="H911" s="340"/>
      <c r="L911" s="131"/>
      <c r="M911" s="131"/>
      <c r="N911" s="131"/>
      <c r="O911" s="131"/>
      <c r="P911" s="131"/>
      <c r="Q911" s="131"/>
      <c r="R911" s="131"/>
      <c r="S911" s="131"/>
      <c r="T911" s="131"/>
      <c r="U911" s="131"/>
      <c r="V911" s="131"/>
      <c r="W911" s="131"/>
      <c r="X911" s="131"/>
      <c r="Y911" s="131"/>
      <c r="Z911" s="131"/>
      <c r="AA911" s="131"/>
      <c r="AB911" s="131"/>
      <c r="AC911" s="131"/>
    </row>
    <row r="912" spans="2:29" x14ac:dyDescent="0.2">
      <c r="B912" s="151"/>
      <c r="C912" s="152"/>
      <c r="H912" s="340"/>
      <c r="L912" s="131"/>
      <c r="M912" s="131"/>
      <c r="N912" s="131"/>
      <c r="O912" s="131"/>
      <c r="P912" s="131"/>
      <c r="Q912" s="131"/>
      <c r="R912" s="131"/>
      <c r="S912" s="131"/>
      <c r="T912" s="131"/>
      <c r="U912" s="131"/>
      <c r="V912" s="131"/>
      <c r="W912" s="131"/>
      <c r="X912" s="131"/>
      <c r="Y912" s="131"/>
      <c r="Z912" s="131"/>
      <c r="AA912" s="131"/>
      <c r="AB912" s="131"/>
      <c r="AC912" s="131"/>
    </row>
    <row r="913" spans="2:29" x14ac:dyDescent="0.2">
      <c r="B913" s="151"/>
      <c r="C913" s="152"/>
      <c r="H913" s="340"/>
      <c r="L913" s="131"/>
      <c r="M913" s="131"/>
      <c r="N913" s="131"/>
      <c r="O913" s="131"/>
      <c r="P913" s="131"/>
      <c r="Q913" s="131"/>
      <c r="R913" s="131"/>
      <c r="S913" s="131"/>
      <c r="T913" s="131"/>
      <c r="U913" s="131"/>
      <c r="V913" s="131"/>
      <c r="W913" s="131"/>
      <c r="X913" s="131"/>
      <c r="Y913" s="131"/>
      <c r="Z913" s="131"/>
      <c r="AA913" s="131"/>
      <c r="AB913" s="131"/>
      <c r="AC913" s="131"/>
    </row>
    <row r="914" spans="2:29" x14ac:dyDescent="0.2">
      <c r="B914" s="151"/>
      <c r="C914" s="152"/>
      <c r="H914" s="340"/>
      <c r="L914" s="131"/>
      <c r="M914" s="131"/>
      <c r="N914" s="131"/>
      <c r="O914" s="131"/>
      <c r="P914" s="131"/>
      <c r="Q914" s="131"/>
      <c r="R914" s="131"/>
      <c r="S914" s="131"/>
      <c r="T914" s="131"/>
      <c r="U914" s="131"/>
      <c r="V914" s="131"/>
      <c r="W914" s="131"/>
      <c r="X914" s="131"/>
      <c r="Y914" s="131"/>
      <c r="Z914" s="131"/>
      <c r="AA914" s="131"/>
      <c r="AB914" s="131"/>
      <c r="AC914" s="131"/>
    </row>
    <row r="915" spans="2:29" x14ac:dyDescent="0.2">
      <c r="B915" s="151"/>
      <c r="C915" s="152"/>
      <c r="H915" s="340"/>
      <c r="L915" s="131"/>
      <c r="M915" s="131"/>
      <c r="N915" s="131"/>
      <c r="O915" s="131"/>
      <c r="P915" s="131"/>
      <c r="Q915" s="131"/>
      <c r="R915" s="131"/>
      <c r="S915" s="131"/>
      <c r="T915" s="131"/>
      <c r="U915" s="131"/>
      <c r="V915" s="131"/>
      <c r="W915" s="131"/>
      <c r="X915" s="131"/>
      <c r="Y915" s="131"/>
      <c r="Z915" s="131"/>
      <c r="AA915" s="131"/>
      <c r="AB915" s="131"/>
      <c r="AC915" s="131"/>
    </row>
    <row r="916" spans="2:29" x14ac:dyDescent="0.2">
      <c r="B916" s="151"/>
      <c r="C916" s="152"/>
      <c r="H916" s="340"/>
      <c r="L916" s="131"/>
      <c r="M916" s="131"/>
      <c r="N916" s="131"/>
      <c r="O916" s="131"/>
      <c r="P916" s="131"/>
      <c r="Q916" s="131"/>
      <c r="R916" s="131"/>
      <c r="S916" s="131"/>
      <c r="T916" s="131"/>
      <c r="U916" s="131"/>
      <c r="V916" s="131"/>
      <c r="W916" s="131"/>
      <c r="X916" s="131"/>
      <c r="Y916" s="131"/>
      <c r="Z916" s="131"/>
      <c r="AA916" s="131"/>
      <c r="AB916" s="131"/>
      <c r="AC916" s="131"/>
    </row>
    <row r="917" spans="2:29" x14ac:dyDescent="0.2">
      <c r="B917" s="151"/>
      <c r="C917" s="152"/>
      <c r="H917" s="340"/>
      <c r="L917" s="131"/>
      <c r="M917" s="131"/>
      <c r="N917" s="131"/>
      <c r="O917" s="131"/>
      <c r="P917" s="131"/>
      <c r="Q917" s="131"/>
      <c r="R917" s="131"/>
      <c r="S917" s="131"/>
      <c r="T917" s="131"/>
      <c r="U917" s="131"/>
      <c r="V917" s="131"/>
      <c r="W917" s="131"/>
      <c r="X917" s="131"/>
      <c r="Y917" s="131"/>
      <c r="Z917" s="131"/>
      <c r="AA917" s="131"/>
      <c r="AB917" s="131"/>
      <c r="AC917" s="131"/>
    </row>
    <row r="918" spans="2:29" x14ac:dyDescent="0.2">
      <c r="B918" s="151"/>
      <c r="C918" s="152"/>
      <c r="H918" s="340"/>
      <c r="L918" s="131"/>
      <c r="M918" s="131"/>
      <c r="N918" s="131"/>
      <c r="O918" s="131"/>
      <c r="P918" s="131"/>
      <c r="Q918" s="131"/>
      <c r="R918" s="131"/>
      <c r="S918" s="131"/>
      <c r="T918" s="131"/>
      <c r="U918" s="131"/>
      <c r="V918" s="131"/>
      <c r="W918" s="131"/>
      <c r="X918" s="131"/>
      <c r="Y918" s="131"/>
      <c r="Z918" s="131"/>
      <c r="AA918" s="131"/>
      <c r="AB918" s="131"/>
      <c r="AC918" s="131"/>
    </row>
    <row r="919" spans="2:29" x14ac:dyDescent="0.2">
      <c r="B919" s="151"/>
      <c r="C919" s="152"/>
      <c r="H919" s="340"/>
      <c r="L919" s="131"/>
      <c r="M919" s="131"/>
      <c r="N919" s="131"/>
      <c r="O919" s="131"/>
      <c r="P919" s="131"/>
      <c r="Q919" s="131"/>
      <c r="R919" s="131"/>
      <c r="S919" s="131"/>
      <c r="T919" s="131"/>
      <c r="U919" s="131"/>
      <c r="V919" s="131"/>
      <c r="W919" s="131"/>
      <c r="X919" s="131"/>
      <c r="Y919" s="131"/>
      <c r="Z919" s="131"/>
      <c r="AA919" s="131"/>
      <c r="AB919" s="131"/>
      <c r="AC919" s="131"/>
    </row>
    <row r="920" spans="2:29" x14ac:dyDescent="0.2">
      <c r="B920" s="151"/>
      <c r="C920" s="152"/>
      <c r="H920" s="340"/>
      <c r="L920" s="131"/>
      <c r="M920" s="131"/>
      <c r="N920" s="131"/>
      <c r="O920" s="131"/>
      <c r="P920" s="131"/>
      <c r="Q920" s="131"/>
      <c r="R920" s="131"/>
      <c r="S920" s="131"/>
      <c r="T920" s="131"/>
      <c r="U920" s="131"/>
      <c r="V920" s="131"/>
      <c r="W920" s="131"/>
      <c r="X920" s="131"/>
      <c r="Y920" s="131"/>
      <c r="Z920" s="131"/>
      <c r="AA920" s="131"/>
      <c r="AB920" s="131"/>
      <c r="AC920" s="131"/>
    </row>
    <row r="921" spans="2:29" x14ac:dyDescent="0.2">
      <c r="B921" s="151"/>
      <c r="C921" s="152"/>
      <c r="H921" s="340"/>
      <c r="L921" s="131"/>
      <c r="M921" s="131"/>
      <c r="N921" s="131"/>
      <c r="O921" s="131"/>
      <c r="P921" s="131"/>
      <c r="Q921" s="131"/>
      <c r="R921" s="131"/>
      <c r="S921" s="131"/>
      <c r="T921" s="131"/>
      <c r="U921" s="131"/>
      <c r="V921" s="131"/>
      <c r="W921" s="131"/>
      <c r="X921" s="131"/>
      <c r="Y921" s="131"/>
      <c r="Z921" s="131"/>
      <c r="AA921" s="131"/>
      <c r="AB921" s="131"/>
      <c r="AC921" s="131"/>
    </row>
    <row r="922" spans="2:29" x14ac:dyDescent="0.2">
      <c r="B922" s="151"/>
      <c r="C922" s="152"/>
      <c r="H922" s="340"/>
      <c r="L922" s="131"/>
      <c r="M922" s="131"/>
      <c r="N922" s="131"/>
      <c r="O922" s="131"/>
      <c r="P922" s="131"/>
      <c r="Q922" s="131"/>
      <c r="R922" s="131"/>
      <c r="S922" s="131"/>
      <c r="T922" s="131"/>
      <c r="U922" s="131"/>
      <c r="V922" s="131"/>
      <c r="W922" s="131"/>
      <c r="X922" s="131"/>
      <c r="Y922" s="131"/>
      <c r="Z922" s="131"/>
      <c r="AA922" s="131"/>
      <c r="AB922" s="131"/>
      <c r="AC922" s="131"/>
    </row>
    <row r="923" spans="2:29" x14ac:dyDescent="0.2">
      <c r="B923" s="151"/>
      <c r="C923" s="152"/>
      <c r="H923" s="340"/>
      <c r="L923" s="131"/>
      <c r="M923" s="131"/>
      <c r="N923" s="131"/>
      <c r="O923" s="131"/>
      <c r="P923" s="131"/>
      <c r="Q923" s="131"/>
      <c r="R923" s="131"/>
      <c r="S923" s="131"/>
      <c r="T923" s="131"/>
      <c r="U923" s="131"/>
      <c r="V923" s="131"/>
      <c r="W923" s="131"/>
      <c r="X923" s="131"/>
      <c r="Y923" s="131"/>
      <c r="Z923" s="131"/>
      <c r="AA923" s="131"/>
      <c r="AB923" s="131"/>
      <c r="AC923" s="131"/>
    </row>
    <row r="924" spans="2:29" x14ac:dyDescent="0.2">
      <c r="B924" s="151"/>
      <c r="C924" s="152"/>
      <c r="H924" s="340"/>
      <c r="L924" s="131"/>
      <c r="M924" s="131"/>
      <c r="N924" s="131"/>
      <c r="O924" s="131"/>
      <c r="P924" s="131"/>
      <c r="Q924" s="131"/>
      <c r="R924" s="131"/>
      <c r="S924" s="131"/>
      <c r="T924" s="131"/>
      <c r="U924" s="131"/>
      <c r="V924" s="131"/>
      <c r="W924" s="131"/>
      <c r="X924" s="131"/>
      <c r="Y924" s="131"/>
      <c r="Z924" s="131"/>
      <c r="AA924" s="131"/>
      <c r="AB924" s="131"/>
      <c r="AC924" s="131"/>
    </row>
    <row r="925" spans="2:29" x14ac:dyDescent="0.2">
      <c r="B925" s="151"/>
      <c r="C925" s="152"/>
      <c r="H925" s="340"/>
      <c r="L925" s="131"/>
      <c r="M925" s="131"/>
      <c r="N925" s="131"/>
      <c r="O925" s="131"/>
      <c r="P925" s="131"/>
      <c r="Q925" s="131"/>
      <c r="R925" s="131"/>
      <c r="S925" s="131"/>
      <c r="T925" s="131"/>
      <c r="U925" s="131"/>
      <c r="V925" s="131"/>
      <c r="W925" s="131"/>
      <c r="X925" s="131"/>
      <c r="Y925" s="131"/>
      <c r="Z925" s="131"/>
      <c r="AA925" s="131"/>
      <c r="AB925" s="131"/>
      <c r="AC925" s="131"/>
    </row>
    <row r="926" spans="2:29" x14ac:dyDescent="0.2">
      <c r="B926" s="151"/>
      <c r="C926" s="152"/>
      <c r="H926" s="340"/>
      <c r="L926" s="131"/>
      <c r="M926" s="131"/>
      <c r="N926" s="131"/>
      <c r="O926" s="131"/>
      <c r="P926" s="131"/>
      <c r="Q926" s="131"/>
      <c r="R926" s="131"/>
      <c r="S926" s="131"/>
      <c r="T926" s="131"/>
      <c r="U926" s="131"/>
      <c r="V926" s="131"/>
      <c r="W926" s="131"/>
      <c r="X926" s="131"/>
      <c r="Y926" s="131"/>
      <c r="Z926" s="131"/>
      <c r="AA926" s="131"/>
      <c r="AB926" s="131"/>
      <c r="AC926" s="131"/>
    </row>
    <row r="927" spans="2:29" x14ac:dyDescent="0.2">
      <c r="B927" s="151"/>
      <c r="C927" s="152"/>
      <c r="H927" s="340"/>
      <c r="L927" s="131"/>
      <c r="M927" s="131"/>
      <c r="N927" s="131"/>
      <c r="O927" s="131"/>
      <c r="P927" s="131"/>
      <c r="Q927" s="131"/>
      <c r="R927" s="131"/>
      <c r="S927" s="131"/>
      <c r="T927" s="131"/>
      <c r="U927" s="131"/>
      <c r="V927" s="131"/>
      <c r="W927" s="131"/>
      <c r="X927" s="131"/>
      <c r="Y927" s="131"/>
      <c r="Z927" s="131"/>
      <c r="AA927" s="131"/>
      <c r="AB927" s="131"/>
      <c r="AC927" s="131"/>
    </row>
    <row r="928" spans="2:29" x14ac:dyDescent="0.2">
      <c r="B928" s="151"/>
      <c r="C928" s="152"/>
      <c r="H928" s="340"/>
      <c r="L928" s="131"/>
      <c r="M928" s="131"/>
      <c r="N928" s="131"/>
      <c r="O928" s="131"/>
      <c r="P928" s="131"/>
      <c r="Q928" s="131"/>
      <c r="R928" s="131"/>
      <c r="S928" s="131"/>
      <c r="T928" s="131"/>
      <c r="U928" s="131"/>
      <c r="V928" s="131"/>
      <c r="W928" s="131"/>
      <c r="X928" s="131"/>
      <c r="Y928" s="131"/>
      <c r="Z928" s="131"/>
      <c r="AA928" s="131"/>
      <c r="AB928" s="131"/>
      <c r="AC928" s="131"/>
    </row>
    <row r="929" spans="2:29" x14ac:dyDescent="0.2">
      <c r="B929" s="151"/>
      <c r="C929" s="152"/>
      <c r="H929" s="340"/>
      <c r="L929" s="131"/>
      <c r="M929" s="131"/>
      <c r="N929" s="131"/>
      <c r="O929" s="131"/>
      <c r="P929" s="131"/>
      <c r="Q929" s="131"/>
      <c r="R929" s="131"/>
      <c r="S929" s="131"/>
      <c r="T929" s="131"/>
      <c r="U929" s="131"/>
      <c r="V929" s="131"/>
      <c r="W929" s="131"/>
      <c r="X929" s="131"/>
      <c r="Y929" s="131"/>
      <c r="Z929" s="131"/>
      <c r="AA929" s="131"/>
      <c r="AB929" s="131"/>
      <c r="AC929" s="131"/>
    </row>
    <row r="930" spans="2:29" x14ac:dyDescent="0.2">
      <c r="B930" s="151"/>
      <c r="C930" s="152"/>
      <c r="H930" s="340"/>
      <c r="L930" s="131"/>
      <c r="M930" s="131"/>
      <c r="N930" s="131"/>
      <c r="O930" s="131"/>
      <c r="P930" s="131"/>
      <c r="Q930" s="131"/>
      <c r="R930" s="131"/>
      <c r="S930" s="131"/>
      <c r="T930" s="131"/>
      <c r="U930" s="131"/>
      <c r="V930" s="131"/>
      <c r="W930" s="131"/>
      <c r="X930" s="131"/>
      <c r="Y930" s="131"/>
      <c r="Z930" s="131"/>
      <c r="AA930" s="131"/>
      <c r="AB930" s="131"/>
      <c r="AC930" s="131"/>
    </row>
    <row r="931" spans="2:29" x14ac:dyDescent="0.2">
      <c r="B931" s="151"/>
      <c r="C931" s="152"/>
      <c r="H931" s="340"/>
      <c r="L931" s="131"/>
      <c r="M931" s="131"/>
      <c r="N931" s="131"/>
      <c r="O931" s="131"/>
      <c r="P931" s="131"/>
      <c r="Q931" s="131"/>
      <c r="R931" s="131"/>
      <c r="S931" s="131"/>
      <c r="T931" s="131"/>
      <c r="U931" s="131"/>
      <c r="V931" s="131"/>
      <c r="W931" s="131"/>
      <c r="X931" s="131"/>
      <c r="Y931" s="131"/>
      <c r="Z931" s="131"/>
      <c r="AA931" s="131"/>
      <c r="AB931" s="131"/>
      <c r="AC931" s="131"/>
    </row>
    <row r="932" spans="2:29" x14ac:dyDescent="0.2">
      <c r="B932" s="151"/>
      <c r="C932" s="152"/>
      <c r="H932" s="340"/>
      <c r="L932" s="131"/>
      <c r="M932" s="131"/>
      <c r="N932" s="131"/>
      <c r="O932" s="131"/>
      <c r="P932" s="131"/>
      <c r="Q932" s="131"/>
      <c r="R932" s="131"/>
      <c r="S932" s="131"/>
      <c r="T932" s="131"/>
      <c r="U932" s="131"/>
      <c r="V932" s="131"/>
      <c r="W932" s="131"/>
      <c r="X932" s="131"/>
      <c r="Y932" s="131"/>
      <c r="Z932" s="131"/>
      <c r="AA932" s="131"/>
      <c r="AB932" s="131"/>
      <c r="AC932" s="131"/>
    </row>
    <row r="933" spans="2:29" x14ac:dyDescent="0.2">
      <c r="B933" s="151"/>
      <c r="C933" s="152"/>
      <c r="H933" s="340"/>
      <c r="L933" s="131"/>
      <c r="M933" s="131"/>
      <c r="N933" s="131"/>
      <c r="O933" s="131"/>
      <c r="P933" s="131"/>
      <c r="Q933" s="131"/>
      <c r="R933" s="131"/>
      <c r="S933" s="131"/>
      <c r="T933" s="131"/>
      <c r="U933" s="131"/>
      <c r="V933" s="131"/>
      <c r="W933" s="131"/>
      <c r="X933" s="131"/>
      <c r="Y933" s="131"/>
      <c r="Z933" s="131"/>
      <c r="AA933" s="131"/>
      <c r="AB933" s="131"/>
      <c r="AC933" s="131"/>
    </row>
    <row r="934" spans="2:29" x14ac:dyDescent="0.2">
      <c r="B934" s="151"/>
      <c r="C934" s="152"/>
      <c r="H934" s="340"/>
      <c r="L934" s="131"/>
      <c r="M934" s="131"/>
      <c r="N934" s="131"/>
      <c r="O934" s="131"/>
      <c r="P934" s="131"/>
      <c r="Q934" s="131"/>
      <c r="R934" s="131"/>
      <c r="S934" s="131"/>
      <c r="T934" s="131"/>
      <c r="U934" s="131"/>
      <c r="V934" s="131"/>
      <c r="W934" s="131"/>
      <c r="X934" s="131"/>
      <c r="Y934" s="131"/>
      <c r="Z934" s="131"/>
      <c r="AA934" s="131"/>
      <c r="AB934" s="131"/>
      <c r="AC934" s="131"/>
    </row>
    <row r="935" spans="2:29" x14ac:dyDescent="0.2">
      <c r="B935" s="151"/>
      <c r="C935" s="152"/>
      <c r="H935" s="340"/>
      <c r="L935" s="131"/>
      <c r="M935" s="131"/>
      <c r="N935" s="131"/>
      <c r="O935" s="131"/>
      <c r="P935" s="131"/>
      <c r="Q935" s="131"/>
      <c r="R935" s="131"/>
      <c r="S935" s="131"/>
      <c r="T935" s="131"/>
      <c r="U935" s="131"/>
      <c r="V935" s="131"/>
      <c r="W935" s="131"/>
      <c r="X935" s="131"/>
      <c r="Y935" s="131"/>
      <c r="Z935" s="131"/>
      <c r="AA935" s="131"/>
      <c r="AB935" s="131"/>
      <c r="AC935" s="131"/>
    </row>
    <row r="936" spans="2:29" x14ac:dyDescent="0.2">
      <c r="B936" s="151"/>
      <c r="C936" s="152"/>
      <c r="H936" s="340"/>
      <c r="L936" s="131"/>
      <c r="M936" s="131"/>
      <c r="N936" s="131"/>
      <c r="O936" s="131"/>
      <c r="P936" s="131"/>
      <c r="Q936" s="131"/>
      <c r="R936" s="131"/>
      <c r="S936" s="131"/>
      <c r="T936" s="131"/>
      <c r="U936" s="131"/>
      <c r="V936" s="131"/>
      <c r="W936" s="131"/>
      <c r="X936" s="131"/>
      <c r="Y936" s="131"/>
      <c r="Z936" s="131"/>
      <c r="AA936" s="131"/>
      <c r="AB936" s="131"/>
      <c r="AC936" s="131"/>
    </row>
    <row r="937" spans="2:29" x14ac:dyDescent="0.2">
      <c r="B937" s="151"/>
      <c r="C937" s="152"/>
      <c r="H937" s="340"/>
      <c r="L937" s="131"/>
      <c r="M937" s="131"/>
      <c r="N937" s="131"/>
      <c r="O937" s="131"/>
      <c r="P937" s="131"/>
      <c r="Q937" s="131"/>
      <c r="R937" s="131"/>
      <c r="S937" s="131"/>
      <c r="T937" s="131"/>
      <c r="U937" s="131"/>
      <c r="V937" s="131"/>
      <c r="W937" s="131"/>
      <c r="X937" s="131"/>
      <c r="Y937" s="131"/>
      <c r="Z937" s="131"/>
      <c r="AA937" s="131"/>
      <c r="AB937" s="131"/>
      <c r="AC937" s="131"/>
    </row>
    <row r="938" spans="2:29" x14ac:dyDescent="0.2">
      <c r="B938" s="151"/>
      <c r="C938" s="152"/>
      <c r="H938" s="340"/>
      <c r="L938" s="131"/>
      <c r="M938" s="131"/>
      <c r="N938" s="131"/>
      <c r="O938" s="131"/>
      <c r="P938" s="131"/>
      <c r="Q938" s="131"/>
      <c r="R938" s="131"/>
      <c r="S938" s="131"/>
      <c r="T938" s="131"/>
      <c r="U938" s="131"/>
      <c r="V938" s="131"/>
      <c r="W938" s="131"/>
      <c r="X938" s="131"/>
      <c r="Y938" s="131"/>
      <c r="Z938" s="131"/>
      <c r="AA938" s="131"/>
      <c r="AB938" s="131"/>
      <c r="AC938" s="131"/>
    </row>
    <row r="939" spans="2:29" x14ac:dyDescent="0.2">
      <c r="B939" s="151"/>
      <c r="C939" s="152"/>
      <c r="H939" s="340"/>
      <c r="L939" s="131"/>
      <c r="M939" s="131"/>
      <c r="N939" s="131"/>
      <c r="O939" s="131"/>
      <c r="P939" s="131"/>
      <c r="Q939" s="131"/>
      <c r="R939" s="131"/>
      <c r="S939" s="131"/>
      <c r="T939" s="131"/>
      <c r="U939" s="131"/>
      <c r="V939" s="131"/>
      <c r="W939" s="131"/>
      <c r="X939" s="131"/>
      <c r="Y939" s="131"/>
      <c r="Z939" s="131"/>
      <c r="AA939" s="131"/>
      <c r="AB939" s="131"/>
      <c r="AC939" s="131"/>
    </row>
    <row r="940" spans="2:29" x14ac:dyDescent="0.2">
      <c r="B940" s="151"/>
      <c r="C940" s="152"/>
      <c r="H940" s="340"/>
      <c r="L940" s="131"/>
      <c r="M940" s="131"/>
      <c r="N940" s="131"/>
      <c r="O940" s="131"/>
      <c r="P940" s="131"/>
      <c r="Q940" s="131"/>
      <c r="R940" s="131"/>
      <c r="S940" s="131"/>
      <c r="T940" s="131"/>
      <c r="U940" s="131"/>
      <c r="V940" s="131"/>
      <c r="W940" s="131"/>
      <c r="X940" s="131"/>
      <c r="Y940" s="131"/>
      <c r="Z940" s="131"/>
      <c r="AA940" s="131"/>
      <c r="AB940" s="131"/>
      <c r="AC940" s="131"/>
    </row>
    <row r="941" spans="2:29" x14ac:dyDescent="0.2">
      <c r="B941" s="151"/>
      <c r="C941" s="152"/>
      <c r="H941" s="340"/>
      <c r="L941" s="131"/>
      <c r="M941" s="131"/>
      <c r="N941" s="131"/>
      <c r="O941" s="131"/>
      <c r="P941" s="131"/>
      <c r="Q941" s="131"/>
      <c r="R941" s="131"/>
      <c r="S941" s="131"/>
      <c r="T941" s="131"/>
      <c r="U941" s="131"/>
      <c r="V941" s="131"/>
      <c r="W941" s="131"/>
      <c r="X941" s="131"/>
      <c r="Y941" s="131"/>
      <c r="Z941" s="131"/>
      <c r="AA941" s="131"/>
      <c r="AB941" s="131"/>
      <c r="AC941" s="131"/>
    </row>
    <row r="942" spans="2:29" x14ac:dyDescent="0.2">
      <c r="B942" s="151"/>
      <c r="C942" s="152"/>
      <c r="H942" s="340"/>
      <c r="L942" s="131"/>
      <c r="M942" s="131"/>
      <c r="N942" s="131"/>
      <c r="O942" s="131"/>
      <c r="P942" s="131"/>
      <c r="Q942" s="131"/>
      <c r="R942" s="131"/>
      <c r="S942" s="131"/>
      <c r="T942" s="131"/>
      <c r="U942" s="131"/>
      <c r="V942" s="131"/>
      <c r="W942" s="131"/>
      <c r="X942" s="131"/>
      <c r="Y942" s="131"/>
      <c r="Z942" s="131"/>
      <c r="AA942" s="131"/>
      <c r="AB942" s="131"/>
      <c r="AC942" s="131"/>
    </row>
    <row r="943" spans="2:29" x14ac:dyDescent="0.2">
      <c r="B943" s="151"/>
      <c r="C943" s="152"/>
      <c r="H943" s="340"/>
      <c r="L943" s="131"/>
      <c r="M943" s="131"/>
      <c r="N943" s="131"/>
      <c r="O943" s="131"/>
      <c r="P943" s="131"/>
      <c r="Q943" s="131"/>
      <c r="R943" s="131"/>
      <c r="S943" s="131"/>
      <c r="T943" s="131"/>
      <c r="U943" s="131"/>
      <c r="V943" s="131"/>
      <c r="W943" s="131"/>
      <c r="X943" s="131"/>
      <c r="Y943" s="131"/>
      <c r="Z943" s="131"/>
      <c r="AA943" s="131"/>
      <c r="AB943" s="131"/>
      <c r="AC943" s="131"/>
    </row>
    <row r="944" spans="2:29" x14ac:dyDescent="0.2">
      <c r="B944" s="151"/>
      <c r="C944" s="152"/>
      <c r="H944" s="340"/>
      <c r="L944" s="131"/>
      <c r="M944" s="131"/>
      <c r="N944" s="131"/>
      <c r="O944" s="131"/>
      <c r="P944" s="131"/>
      <c r="Q944" s="131"/>
      <c r="R944" s="131"/>
      <c r="S944" s="131"/>
      <c r="T944" s="131"/>
      <c r="U944" s="131"/>
      <c r="V944" s="131"/>
      <c r="W944" s="131"/>
      <c r="X944" s="131"/>
      <c r="Y944" s="131"/>
      <c r="Z944" s="131"/>
      <c r="AA944" s="131"/>
      <c r="AB944" s="131"/>
      <c r="AC944" s="131"/>
    </row>
    <row r="945" spans="2:29" x14ac:dyDescent="0.2">
      <c r="B945" s="151"/>
      <c r="C945" s="152"/>
      <c r="H945" s="340"/>
      <c r="L945" s="131"/>
      <c r="M945" s="131"/>
      <c r="N945" s="131"/>
      <c r="O945" s="131"/>
      <c r="P945" s="131"/>
      <c r="Q945" s="131"/>
      <c r="R945" s="131"/>
      <c r="S945" s="131"/>
      <c r="T945" s="131"/>
      <c r="U945" s="131"/>
      <c r="V945" s="131"/>
      <c r="W945" s="131"/>
      <c r="X945" s="131"/>
      <c r="Y945" s="131"/>
      <c r="Z945" s="131"/>
      <c r="AA945" s="131"/>
      <c r="AB945" s="131"/>
      <c r="AC945" s="131"/>
    </row>
    <row r="946" spans="2:29" x14ac:dyDescent="0.2">
      <c r="B946" s="151"/>
      <c r="C946" s="152"/>
      <c r="H946" s="340"/>
      <c r="L946" s="131"/>
      <c r="M946" s="131"/>
      <c r="N946" s="131"/>
      <c r="O946" s="131"/>
      <c r="P946" s="131"/>
      <c r="Q946" s="131"/>
      <c r="R946" s="131"/>
      <c r="S946" s="131"/>
      <c r="T946" s="131"/>
      <c r="U946" s="131"/>
      <c r="V946" s="131"/>
      <c r="W946" s="131"/>
      <c r="X946" s="131"/>
      <c r="Y946" s="131"/>
      <c r="Z946" s="131"/>
      <c r="AA946" s="131"/>
      <c r="AB946" s="131"/>
      <c r="AC946" s="131"/>
    </row>
    <row r="947" spans="2:29" x14ac:dyDescent="0.2">
      <c r="B947" s="151"/>
      <c r="C947" s="152"/>
      <c r="H947" s="340"/>
      <c r="L947" s="131"/>
      <c r="M947" s="131"/>
      <c r="N947" s="131"/>
      <c r="O947" s="131"/>
      <c r="P947" s="131"/>
      <c r="Q947" s="131"/>
      <c r="R947" s="131"/>
      <c r="S947" s="131"/>
      <c r="T947" s="131"/>
      <c r="U947" s="131"/>
      <c r="V947" s="131"/>
      <c r="W947" s="131"/>
      <c r="X947" s="131"/>
      <c r="Y947" s="131"/>
      <c r="Z947" s="131"/>
      <c r="AA947" s="131"/>
      <c r="AB947" s="131"/>
      <c r="AC947" s="131"/>
    </row>
    <row r="948" spans="2:29" x14ac:dyDescent="0.2">
      <c r="B948" s="151"/>
      <c r="C948" s="152"/>
      <c r="H948" s="340"/>
      <c r="L948" s="131"/>
      <c r="M948" s="131"/>
      <c r="N948" s="131"/>
      <c r="O948" s="131"/>
      <c r="P948" s="131"/>
      <c r="Q948" s="131"/>
      <c r="R948" s="131"/>
      <c r="S948" s="131"/>
      <c r="T948" s="131"/>
      <c r="U948" s="131"/>
      <c r="V948" s="131"/>
      <c r="W948" s="131"/>
      <c r="X948" s="131"/>
      <c r="Y948" s="131"/>
      <c r="Z948" s="131"/>
      <c r="AA948" s="131"/>
      <c r="AB948" s="131"/>
      <c r="AC948" s="131"/>
    </row>
    <row r="949" spans="2:29" x14ac:dyDescent="0.2">
      <c r="B949" s="151"/>
      <c r="C949" s="152"/>
      <c r="H949" s="340"/>
      <c r="L949" s="131"/>
      <c r="M949" s="131"/>
      <c r="N949" s="131"/>
      <c r="O949" s="131"/>
      <c r="P949" s="131"/>
      <c r="Q949" s="131"/>
      <c r="R949" s="131"/>
      <c r="S949" s="131"/>
      <c r="T949" s="131"/>
      <c r="U949" s="131"/>
      <c r="V949" s="131"/>
      <c r="W949" s="131"/>
      <c r="X949" s="131"/>
      <c r="Y949" s="131"/>
      <c r="Z949" s="131"/>
      <c r="AA949" s="131"/>
      <c r="AB949" s="131"/>
      <c r="AC949" s="131"/>
    </row>
    <row r="950" spans="2:29" x14ac:dyDescent="0.2">
      <c r="B950" s="151"/>
      <c r="C950" s="152"/>
      <c r="H950" s="340"/>
      <c r="L950" s="131"/>
      <c r="M950" s="131"/>
      <c r="N950" s="131"/>
      <c r="O950" s="131"/>
      <c r="P950" s="131"/>
      <c r="Q950" s="131"/>
      <c r="R950" s="131"/>
      <c r="S950" s="131"/>
      <c r="T950" s="131"/>
      <c r="U950" s="131"/>
      <c r="V950" s="131"/>
      <c r="W950" s="131"/>
      <c r="X950" s="131"/>
      <c r="Y950" s="131"/>
      <c r="Z950" s="131"/>
      <c r="AA950" s="131"/>
      <c r="AB950" s="131"/>
      <c r="AC950" s="131"/>
    </row>
    <row r="951" spans="2:29" x14ac:dyDescent="0.2">
      <c r="B951" s="151"/>
      <c r="C951" s="152"/>
      <c r="H951" s="340"/>
      <c r="L951" s="131"/>
      <c r="M951" s="131"/>
      <c r="N951" s="131"/>
      <c r="O951" s="131"/>
      <c r="P951" s="131"/>
      <c r="Q951" s="131"/>
      <c r="R951" s="131"/>
      <c r="S951" s="131"/>
      <c r="T951" s="131"/>
      <c r="U951" s="131"/>
      <c r="V951" s="131"/>
      <c r="W951" s="131"/>
      <c r="X951" s="131"/>
      <c r="Y951" s="131"/>
      <c r="Z951" s="131"/>
      <c r="AA951" s="131"/>
      <c r="AB951" s="131"/>
      <c r="AC951" s="131"/>
    </row>
    <row r="952" spans="2:29" x14ac:dyDescent="0.2">
      <c r="B952" s="151"/>
      <c r="C952" s="152"/>
      <c r="H952" s="340"/>
      <c r="L952" s="131"/>
      <c r="M952" s="131"/>
      <c r="N952" s="131"/>
      <c r="O952" s="131"/>
      <c r="P952" s="131"/>
      <c r="Q952" s="131"/>
      <c r="R952" s="131"/>
      <c r="S952" s="131"/>
      <c r="T952" s="131"/>
      <c r="U952" s="131"/>
      <c r="V952" s="131"/>
      <c r="W952" s="131"/>
      <c r="X952" s="131"/>
      <c r="Y952" s="131"/>
      <c r="Z952" s="131"/>
      <c r="AA952" s="131"/>
      <c r="AB952" s="131"/>
      <c r="AC952" s="131"/>
    </row>
    <row r="953" spans="2:29" x14ac:dyDescent="0.2">
      <c r="B953" s="151"/>
      <c r="C953" s="152"/>
      <c r="H953" s="340"/>
      <c r="L953" s="131"/>
      <c r="M953" s="131"/>
      <c r="N953" s="131"/>
      <c r="O953" s="131"/>
      <c r="P953" s="131"/>
      <c r="Q953" s="131"/>
      <c r="R953" s="131"/>
      <c r="S953" s="131"/>
      <c r="T953" s="131"/>
      <c r="U953" s="131"/>
      <c r="V953" s="131"/>
      <c r="W953" s="131"/>
      <c r="X953" s="131"/>
      <c r="Y953" s="131"/>
      <c r="Z953" s="131"/>
      <c r="AA953" s="131"/>
      <c r="AB953" s="131"/>
      <c r="AC953" s="131"/>
    </row>
    <row r="954" spans="2:29" x14ac:dyDescent="0.2">
      <c r="B954" s="151"/>
      <c r="C954" s="152"/>
      <c r="H954" s="340"/>
      <c r="L954" s="131"/>
      <c r="M954" s="131"/>
      <c r="N954" s="131"/>
      <c r="O954" s="131"/>
      <c r="P954" s="131"/>
      <c r="Q954" s="131"/>
      <c r="R954" s="131"/>
      <c r="S954" s="131"/>
      <c r="T954" s="131"/>
      <c r="U954" s="131"/>
      <c r="V954" s="131"/>
      <c r="W954" s="131"/>
      <c r="X954" s="131"/>
      <c r="Y954" s="131"/>
      <c r="Z954" s="131"/>
      <c r="AA954" s="131"/>
      <c r="AB954" s="131"/>
      <c r="AC954" s="131"/>
    </row>
    <row r="955" spans="2:29" x14ac:dyDescent="0.2">
      <c r="B955" s="151"/>
      <c r="C955" s="152"/>
      <c r="H955" s="340"/>
      <c r="L955" s="131"/>
      <c r="M955" s="131"/>
      <c r="N955" s="131"/>
      <c r="O955" s="131"/>
      <c r="P955" s="131"/>
      <c r="Q955" s="131"/>
      <c r="R955" s="131"/>
      <c r="S955" s="131"/>
      <c r="T955" s="131"/>
      <c r="U955" s="131"/>
      <c r="V955" s="131"/>
      <c r="W955" s="131"/>
      <c r="X955" s="131"/>
      <c r="Y955" s="131"/>
      <c r="Z955" s="131"/>
      <c r="AA955" s="131"/>
      <c r="AB955" s="131"/>
      <c r="AC955" s="131"/>
    </row>
    <row r="956" spans="2:29" x14ac:dyDescent="0.2">
      <c r="B956" s="151"/>
      <c r="C956" s="152"/>
      <c r="H956" s="340"/>
      <c r="L956" s="131"/>
      <c r="M956" s="131"/>
      <c r="N956" s="131"/>
      <c r="O956" s="131"/>
      <c r="P956" s="131"/>
      <c r="Q956" s="131"/>
      <c r="R956" s="131"/>
      <c r="S956" s="131"/>
      <c r="T956" s="131"/>
      <c r="U956" s="131"/>
      <c r="V956" s="131"/>
      <c r="W956" s="131"/>
      <c r="X956" s="131"/>
      <c r="Y956" s="131"/>
      <c r="Z956" s="131"/>
      <c r="AA956" s="131"/>
      <c r="AB956" s="131"/>
      <c r="AC956" s="131"/>
    </row>
    <row r="957" spans="2:29" x14ac:dyDescent="0.2">
      <c r="B957" s="151"/>
      <c r="C957" s="152"/>
      <c r="H957" s="340"/>
      <c r="L957" s="131"/>
      <c r="M957" s="131"/>
      <c r="N957" s="131"/>
      <c r="O957" s="131"/>
      <c r="P957" s="131"/>
      <c r="Q957" s="131"/>
      <c r="R957" s="131"/>
      <c r="S957" s="131"/>
      <c r="T957" s="131"/>
      <c r="U957" s="131"/>
      <c r="V957" s="131"/>
      <c r="W957" s="131"/>
      <c r="X957" s="131"/>
      <c r="Y957" s="131"/>
      <c r="Z957" s="131"/>
      <c r="AA957" s="131"/>
      <c r="AB957" s="131"/>
      <c r="AC957" s="131"/>
    </row>
    <row r="958" spans="2:29" x14ac:dyDescent="0.2">
      <c r="B958" s="151"/>
      <c r="C958" s="152"/>
      <c r="H958" s="340"/>
      <c r="L958" s="131"/>
      <c r="M958" s="131"/>
      <c r="N958" s="131"/>
      <c r="O958" s="131"/>
      <c r="P958" s="131"/>
      <c r="Q958" s="131"/>
      <c r="R958" s="131"/>
      <c r="S958" s="131"/>
      <c r="T958" s="131"/>
      <c r="U958" s="131"/>
      <c r="V958" s="131"/>
      <c r="W958" s="131"/>
      <c r="X958" s="131"/>
      <c r="Y958" s="131"/>
      <c r="Z958" s="131"/>
      <c r="AA958" s="131"/>
      <c r="AB958" s="131"/>
      <c r="AC958" s="131"/>
    </row>
    <row r="959" spans="2:29" x14ac:dyDescent="0.2">
      <c r="B959" s="151"/>
      <c r="C959" s="152"/>
      <c r="H959" s="340"/>
      <c r="L959" s="131"/>
      <c r="M959" s="131"/>
      <c r="N959" s="131"/>
      <c r="O959" s="131"/>
      <c r="P959" s="131"/>
      <c r="Q959" s="131"/>
      <c r="R959" s="131"/>
      <c r="S959" s="131"/>
      <c r="T959" s="131"/>
      <c r="U959" s="131"/>
      <c r="V959" s="131"/>
      <c r="W959" s="131"/>
      <c r="X959" s="131"/>
      <c r="Y959" s="131"/>
      <c r="Z959" s="131"/>
      <c r="AA959" s="131"/>
      <c r="AB959" s="131"/>
      <c r="AC959" s="131"/>
    </row>
    <row r="960" spans="2:29" x14ac:dyDescent="0.2">
      <c r="B960" s="151"/>
      <c r="C960" s="152"/>
      <c r="H960" s="340"/>
      <c r="L960" s="131"/>
      <c r="M960" s="131"/>
      <c r="N960" s="131"/>
      <c r="O960" s="131"/>
      <c r="P960" s="131"/>
      <c r="Q960" s="131"/>
      <c r="R960" s="131"/>
      <c r="S960" s="131"/>
      <c r="T960" s="131"/>
      <c r="U960" s="131"/>
      <c r="V960" s="131"/>
      <c r="W960" s="131"/>
      <c r="X960" s="131"/>
      <c r="Y960" s="131"/>
      <c r="Z960" s="131"/>
      <c r="AA960" s="131"/>
      <c r="AB960" s="131"/>
      <c r="AC960" s="131"/>
    </row>
    <row r="961" spans="2:29" x14ac:dyDescent="0.2">
      <c r="B961" s="151"/>
      <c r="C961" s="152"/>
      <c r="H961" s="340"/>
      <c r="L961" s="131"/>
      <c r="M961" s="131"/>
      <c r="N961" s="131"/>
      <c r="O961" s="131"/>
      <c r="P961" s="131"/>
      <c r="Q961" s="131"/>
      <c r="R961" s="131"/>
      <c r="S961" s="131"/>
      <c r="T961" s="131"/>
      <c r="U961" s="131"/>
      <c r="V961" s="131"/>
      <c r="W961" s="131"/>
      <c r="X961" s="131"/>
      <c r="Y961" s="131"/>
      <c r="Z961" s="131"/>
      <c r="AA961" s="131"/>
      <c r="AB961" s="131"/>
      <c r="AC961" s="131"/>
    </row>
    <row r="962" spans="2:29" x14ac:dyDescent="0.2">
      <c r="B962" s="151"/>
      <c r="C962" s="152"/>
      <c r="H962" s="340"/>
      <c r="L962" s="131"/>
      <c r="M962" s="131"/>
      <c r="N962" s="131"/>
      <c r="O962" s="131"/>
      <c r="P962" s="131"/>
      <c r="Q962" s="131"/>
      <c r="R962" s="131"/>
      <c r="S962" s="131"/>
      <c r="T962" s="131"/>
      <c r="U962" s="131"/>
      <c r="V962" s="131"/>
      <c r="W962" s="131"/>
      <c r="X962" s="131"/>
      <c r="Y962" s="131"/>
      <c r="Z962" s="131"/>
      <c r="AA962" s="131"/>
      <c r="AB962" s="131"/>
      <c r="AC962" s="131"/>
    </row>
    <row r="963" spans="2:29" x14ac:dyDescent="0.2">
      <c r="B963" s="151"/>
      <c r="C963" s="152"/>
      <c r="H963" s="340"/>
      <c r="L963" s="131"/>
      <c r="M963" s="131"/>
      <c r="N963" s="131"/>
      <c r="O963" s="131"/>
      <c r="P963" s="131"/>
      <c r="Q963" s="131"/>
      <c r="R963" s="131"/>
      <c r="S963" s="131"/>
      <c r="T963" s="131"/>
      <c r="U963" s="131"/>
      <c r="V963" s="131"/>
      <c r="W963" s="131"/>
      <c r="X963" s="131"/>
      <c r="Y963" s="131"/>
      <c r="Z963" s="131"/>
      <c r="AA963" s="131"/>
      <c r="AB963" s="131"/>
      <c r="AC963" s="131"/>
    </row>
    <row r="964" spans="2:29" x14ac:dyDescent="0.2">
      <c r="B964" s="151"/>
      <c r="C964" s="152"/>
      <c r="H964" s="340"/>
      <c r="L964" s="131"/>
      <c r="M964" s="131"/>
      <c r="N964" s="131"/>
      <c r="O964" s="131"/>
      <c r="P964" s="131"/>
      <c r="Q964" s="131"/>
      <c r="R964" s="131"/>
      <c r="S964" s="131"/>
      <c r="T964" s="131"/>
      <c r="U964" s="131"/>
      <c r="V964" s="131"/>
      <c r="W964" s="131"/>
      <c r="X964" s="131"/>
      <c r="Y964" s="131"/>
      <c r="Z964" s="131"/>
      <c r="AA964" s="131"/>
      <c r="AB964" s="131"/>
      <c r="AC964" s="131"/>
    </row>
    <row r="965" spans="2:29" x14ac:dyDescent="0.2">
      <c r="B965" s="151"/>
      <c r="C965" s="152"/>
      <c r="H965" s="340"/>
      <c r="L965" s="131"/>
      <c r="M965" s="131"/>
      <c r="N965" s="131"/>
      <c r="O965" s="131"/>
      <c r="P965" s="131"/>
      <c r="Q965" s="131"/>
      <c r="R965" s="131"/>
      <c r="S965" s="131"/>
      <c r="T965" s="131"/>
      <c r="U965" s="131"/>
      <c r="V965" s="131"/>
      <c r="W965" s="131"/>
      <c r="X965" s="131"/>
      <c r="Y965" s="131"/>
      <c r="Z965" s="131"/>
      <c r="AA965" s="131"/>
      <c r="AB965" s="131"/>
      <c r="AC965" s="131"/>
    </row>
    <row r="966" spans="2:29" x14ac:dyDescent="0.2">
      <c r="B966" s="151"/>
      <c r="C966" s="152"/>
      <c r="H966" s="340"/>
      <c r="L966" s="131"/>
      <c r="M966" s="131"/>
      <c r="N966" s="131"/>
      <c r="O966" s="131"/>
      <c r="P966" s="131"/>
      <c r="Q966" s="131"/>
      <c r="R966" s="131"/>
      <c r="S966" s="131"/>
      <c r="T966" s="131"/>
      <c r="U966" s="131"/>
      <c r="V966" s="131"/>
      <c r="W966" s="131"/>
      <c r="X966" s="131"/>
      <c r="Y966" s="131"/>
      <c r="Z966" s="131"/>
      <c r="AA966" s="131"/>
      <c r="AB966" s="131"/>
      <c r="AC966" s="131"/>
    </row>
    <row r="967" spans="2:29" x14ac:dyDescent="0.2">
      <c r="B967" s="151"/>
      <c r="C967" s="152"/>
      <c r="H967" s="340"/>
      <c r="L967" s="131"/>
      <c r="M967" s="131"/>
      <c r="N967" s="131"/>
      <c r="O967" s="131"/>
      <c r="P967" s="131"/>
      <c r="Q967" s="131"/>
      <c r="R967" s="131"/>
      <c r="S967" s="131"/>
      <c r="T967" s="131"/>
      <c r="U967" s="131"/>
      <c r="V967" s="131"/>
      <c r="W967" s="131"/>
      <c r="X967" s="131"/>
      <c r="Y967" s="131"/>
      <c r="Z967" s="131"/>
      <c r="AA967" s="131"/>
      <c r="AB967" s="131"/>
      <c r="AC967" s="131"/>
    </row>
    <row r="968" spans="2:29" x14ac:dyDescent="0.2">
      <c r="B968" s="151"/>
      <c r="C968" s="152"/>
      <c r="H968" s="340"/>
      <c r="L968" s="131"/>
      <c r="M968" s="131"/>
      <c r="N968" s="131"/>
      <c r="O968" s="131"/>
      <c r="P968" s="131"/>
      <c r="Q968" s="131"/>
      <c r="R968" s="131"/>
      <c r="S968" s="131"/>
      <c r="T968" s="131"/>
      <c r="U968" s="131"/>
      <c r="V968" s="131"/>
      <c r="W968" s="131"/>
      <c r="X968" s="131"/>
      <c r="Y968" s="131"/>
      <c r="Z968" s="131"/>
      <c r="AA968" s="131"/>
      <c r="AB968" s="131"/>
      <c r="AC968" s="131"/>
    </row>
    <row r="969" spans="2:29" x14ac:dyDescent="0.2">
      <c r="B969" s="151"/>
      <c r="C969" s="152"/>
      <c r="H969" s="340"/>
      <c r="L969" s="131"/>
      <c r="M969" s="131"/>
      <c r="N969" s="131"/>
      <c r="O969" s="131"/>
      <c r="P969" s="131"/>
      <c r="Q969" s="131"/>
      <c r="R969" s="131"/>
      <c r="S969" s="131"/>
      <c r="T969" s="131"/>
      <c r="U969" s="131"/>
      <c r="V969" s="131"/>
      <c r="W969" s="131"/>
      <c r="X969" s="131"/>
      <c r="Y969" s="131"/>
      <c r="Z969" s="131"/>
      <c r="AA969" s="131"/>
      <c r="AB969" s="131"/>
      <c r="AC969" s="131"/>
    </row>
    <row r="970" spans="2:29" x14ac:dyDescent="0.2">
      <c r="B970" s="151"/>
      <c r="C970" s="152"/>
      <c r="H970" s="340"/>
      <c r="L970" s="131"/>
      <c r="M970" s="131"/>
      <c r="N970" s="131"/>
      <c r="O970" s="131"/>
      <c r="P970" s="131"/>
      <c r="Q970" s="131"/>
      <c r="R970" s="131"/>
      <c r="S970" s="131"/>
      <c r="T970" s="131"/>
      <c r="U970" s="131"/>
      <c r="V970" s="131"/>
      <c r="W970" s="131"/>
      <c r="X970" s="131"/>
      <c r="Y970" s="131"/>
      <c r="Z970" s="131"/>
      <c r="AA970" s="131"/>
      <c r="AB970" s="131"/>
      <c r="AC970" s="131"/>
    </row>
    <row r="971" spans="2:29" x14ac:dyDescent="0.2">
      <c r="B971" s="151"/>
      <c r="C971" s="152"/>
      <c r="H971" s="340"/>
      <c r="L971" s="131"/>
      <c r="M971" s="131"/>
      <c r="N971" s="131"/>
      <c r="O971" s="131"/>
      <c r="P971" s="131"/>
      <c r="Q971" s="131"/>
      <c r="R971" s="131"/>
      <c r="S971" s="131"/>
      <c r="T971" s="131"/>
      <c r="U971" s="131"/>
      <c r="V971" s="131"/>
      <c r="W971" s="131"/>
      <c r="X971" s="131"/>
      <c r="Y971" s="131"/>
      <c r="Z971" s="131"/>
      <c r="AA971" s="131"/>
      <c r="AB971" s="131"/>
      <c r="AC971" s="131"/>
    </row>
    <row r="972" spans="2:29" x14ac:dyDescent="0.2">
      <c r="B972" s="151"/>
      <c r="C972" s="152"/>
      <c r="H972" s="340"/>
      <c r="L972" s="131"/>
      <c r="M972" s="131"/>
      <c r="N972" s="131"/>
      <c r="O972" s="131"/>
      <c r="P972" s="131"/>
      <c r="Q972" s="131"/>
      <c r="R972" s="131"/>
      <c r="S972" s="131"/>
      <c r="T972" s="131"/>
      <c r="U972" s="131"/>
      <c r="V972" s="131"/>
      <c r="W972" s="131"/>
      <c r="X972" s="131"/>
      <c r="Y972" s="131"/>
      <c r="Z972" s="131"/>
      <c r="AA972" s="131"/>
      <c r="AB972" s="131"/>
      <c r="AC972" s="131"/>
    </row>
    <row r="973" spans="2:29" x14ac:dyDescent="0.2">
      <c r="B973" s="151"/>
      <c r="C973" s="152"/>
      <c r="H973" s="340"/>
      <c r="L973" s="131"/>
      <c r="M973" s="131"/>
      <c r="N973" s="131"/>
      <c r="O973" s="131"/>
      <c r="P973" s="131"/>
      <c r="Q973" s="131"/>
      <c r="R973" s="131"/>
      <c r="S973" s="131"/>
      <c r="T973" s="131"/>
      <c r="U973" s="131"/>
      <c r="V973" s="131"/>
      <c r="W973" s="131"/>
      <c r="X973" s="131"/>
      <c r="Y973" s="131"/>
      <c r="Z973" s="131"/>
      <c r="AA973" s="131"/>
      <c r="AB973" s="131"/>
      <c r="AC973" s="131"/>
    </row>
    <row r="974" spans="2:29" x14ac:dyDescent="0.2">
      <c r="B974" s="151"/>
      <c r="C974" s="152"/>
      <c r="H974" s="340"/>
      <c r="L974" s="131"/>
      <c r="M974" s="131"/>
      <c r="N974" s="131"/>
      <c r="O974" s="131"/>
      <c r="P974" s="131"/>
      <c r="Q974" s="131"/>
      <c r="R974" s="131"/>
      <c r="S974" s="131"/>
      <c r="T974" s="131"/>
      <c r="U974" s="131"/>
      <c r="V974" s="131"/>
      <c r="W974" s="131"/>
      <c r="X974" s="131"/>
      <c r="Y974" s="131"/>
      <c r="Z974" s="131"/>
      <c r="AA974" s="131"/>
      <c r="AB974" s="131"/>
      <c r="AC974" s="131"/>
    </row>
    <row r="975" spans="2:29" x14ac:dyDescent="0.2">
      <c r="B975" s="151"/>
      <c r="C975" s="152"/>
      <c r="H975" s="340"/>
      <c r="L975" s="131"/>
      <c r="M975" s="131"/>
      <c r="N975" s="131"/>
      <c r="O975" s="131"/>
      <c r="P975" s="131"/>
      <c r="Q975" s="131"/>
      <c r="R975" s="131"/>
      <c r="S975" s="131"/>
      <c r="T975" s="131"/>
      <c r="U975" s="131"/>
      <c r="V975" s="131"/>
      <c r="W975" s="131"/>
      <c r="X975" s="131"/>
      <c r="Y975" s="131"/>
      <c r="Z975" s="131"/>
      <c r="AA975" s="131"/>
      <c r="AB975" s="131"/>
      <c r="AC975" s="131"/>
    </row>
    <row r="976" spans="2:29" x14ac:dyDescent="0.2">
      <c r="B976" s="151"/>
      <c r="C976" s="152"/>
      <c r="H976" s="340"/>
      <c r="L976" s="131"/>
      <c r="M976" s="131"/>
      <c r="N976" s="131"/>
      <c r="O976" s="131"/>
      <c r="P976" s="131"/>
      <c r="Q976" s="131"/>
      <c r="R976" s="131"/>
      <c r="S976" s="131"/>
      <c r="T976" s="131"/>
      <c r="U976" s="131"/>
      <c r="V976" s="131"/>
      <c r="W976" s="131"/>
      <c r="X976" s="131"/>
      <c r="Y976" s="131"/>
      <c r="Z976" s="131"/>
      <c r="AA976" s="131"/>
      <c r="AB976" s="131"/>
      <c r="AC976" s="131"/>
    </row>
    <row r="977" spans="2:29" x14ac:dyDescent="0.2">
      <c r="B977" s="151"/>
      <c r="C977" s="152"/>
      <c r="H977" s="340"/>
      <c r="L977" s="131"/>
      <c r="M977" s="131"/>
      <c r="N977" s="131"/>
      <c r="O977" s="131"/>
      <c r="P977" s="131"/>
      <c r="Q977" s="131"/>
      <c r="R977" s="131"/>
      <c r="S977" s="131"/>
      <c r="T977" s="131"/>
      <c r="U977" s="131"/>
      <c r="V977" s="131"/>
      <c r="W977" s="131"/>
      <c r="X977" s="131"/>
      <c r="Y977" s="131"/>
      <c r="Z977" s="131"/>
      <c r="AA977" s="131"/>
      <c r="AB977" s="131"/>
      <c r="AC977" s="131"/>
    </row>
    <row r="978" spans="2:29" x14ac:dyDescent="0.2">
      <c r="B978" s="151"/>
      <c r="C978" s="152"/>
      <c r="H978" s="340"/>
      <c r="L978" s="131"/>
      <c r="M978" s="131"/>
      <c r="N978" s="131"/>
      <c r="O978" s="131"/>
      <c r="P978" s="131"/>
      <c r="Q978" s="131"/>
      <c r="R978" s="131"/>
      <c r="S978" s="131"/>
      <c r="T978" s="131"/>
      <c r="U978" s="131"/>
      <c r="V978" s="131"/>
      <c r="W978" s="131"/>
      <c r="X978" s="131"/>
      <c r="Y978" s="131"/>
      <c r="Z978" s="131"/>
      <c r="AA978" s="131"/>
      <c r="AB978" s="131"/>
      <c r="AC978" s="131"/>
    </row>
    <row r="979" spans="2:29" x14ac:dyDescent="0.2">
      <c r="B979" s="151"/>
      <c r="C979" s="152"/>
      <c r="H979" s="340"/>
      <c r="L979" s="131"/>
      <c r="M979" s="131"/>
      <c r="N979" s="131"/>
      <c r="O979" s="131"/>
      <c r="P979" s="131"/>
      <c r="Q979" s="131"/>
      <c r="R979" s="131"/>
      <c r="S979" s="131"/>
      <c r="T979" s="131"/>
      <c r="U979" s="131"/>
      <c r="V979" s="131"/>
      <c r="W979" s="131"/>
      <c r="X979" s="131"/>
      <c r="Y979" s="131"/>
      <c r="Z979" s="131"/>
      <c r="AA979" s="131"/>
      <c r="AB979" s="131"/>
      <c r="AC979" s="131"/>
    </row>
    <row r="980" spans="2:29" x14ac:dyDescent="0.2">
      <c r="B980" s="151"/>
      <c r="C980" s="152"/>
      <c r="H980" s="340"/>
      <c r="L980" s="131"/>
      <c r="M980" s="131"/>
      <c r="N980" s="131"/>
      <c r="O980" s="131"/>
      <c r="P980" s="131"/>
      <c r="Q980" s="131"/>
      <c r="R980" s="131"/>
      <c r="S980" s="131"/>
      <c r="T980" s="131"/>
      <c r="U980" s="131"/>
      <c r="V980" s="131"/>
      <c r="W980" s="131"/>
      <c r="X980" s="131"/>
      <c r="Y980" s="131"/>
      <c r="Z980" s="131"/>
      <c r="AA980" s="131"/>
      <c r="AB980" s="131"/>
      <c r="AC980" s="131"/>
    </row>
    <row r="981" spans="2:29" x14ac:dyDescent="0.2">
      <c r="B981" s="151"/>
      <c r="C981" s="152"/>
      <c r="H981" s="340"/>
      <c r="L981" s="131"/>
      <c r="M981" s="131"/>
      <c r="N981" s="131"/>
      <c r="O981" s="131"/>
      <c r="P981" s="131"/>
      <c r="Q981" s="131"/>
      <c r="R981" s="131"/>
      <c r="S981" s="131"/>
      <c r="T981" s="131"/>
      <c r="U981" s="131"/>
      <c r="V981" s="131"/>
      <c r="W981" s="131"/>
      <c r="X981" s="131"/>
      <c r="Y981" s="131"/>
      <c r="Z981" s="131"/>
      <c r="AA981" s="131"/>
      <c r="AB981" s="131"/>
      <c r="AC981" s="131"/>
    </row>
    <row r="982" spans="2:29" x14ac:dyDescent="0.2">
      <c r="B982" s="151"/>
      <c r="C982" s="152"/>
      <c r="H982" s="340"/>
      <c r="L982" s="131"/>
      <c r="M982" s="131"/>
      <c r="N982" s="131"/>
      <c r="O982" s="131"/>
      <c r="P982" s="131"/>
      <c r="Q982" s="131"/>
      <c r="R982" s="131"/>
      <c r="S982" s="131"/>
      <c r="T982" s="131"/>
      <c r="U982" s="131"/>
      <c r="V982" s="131"/>
      <c r="W982" s="131"/>
      <c r="X982" s="131"/>
      <c r="Y982" s="131"/>
      <c r="Z982" s="131"/>
      <c r="AA982" s="131"/>
      <c r="AB982" s="131"/>
      <c r="AC982" s="131"/>
    </row>
    <row r="983" spans="2:29" x14ac:dyDescent="0.2">
      <c r="B983" s="151"/>
      <c r="C983" s="152"/>
      <c r="H983" s="340"/>
      <c r="L983" s="131"/>
      <c r="M983" s="131"/>
      <c r="N983" s="131"/>
      <c r="O983" s="131"/>
      <c r="P983" s="131"/>
      <c r="Q983" s="131"/>
      <c r="R983" s="131"/>
      <c r="S983" s="131"/>
      <c r="T983" s="131"/>
      <c r="U983" s="131"/>
      <c r="V983" s="131"/>
      <c r="W983" s="131"/>
      <c r="X983" s="131"/>
      <c r="Y983" s="131"/>
      <c r="Z983" s="131"/>
      <c r="AA983" s="131"/>
      <c r="AB983" s="131"/>
      <c r="AC983" s="131"/>
    </row>
    <row r="984" spans="2:29" x14ac:dyDescent="0.2">
      <c r="B984" s="151"/>
      <c r="C984" s="152"/>
      <c r="H984" s="340"/>
      <c r="L984" s="131"/>
      <c r="M984" s="131"/>
      <c r="N984" s="131"/>
      <c r="O984" s="131"/>
      <c r="P984" s="131"/>
      <c r="Q984" s="131"/>
      <c r="R984" s="131"/>
      <c r="S984" s="131"/>
      <c r="T984" s="131"/>
      <c r="U984" s="131"/>
      <c r="V984" s="131"/>
      <c r="W984" s="131"/>
      <c r="X984" s="131"/>
      <c r="Y984" s="131"/>
      <c r="Z984" s="131"/>
      <c r="AA984" s="131"/>
      <c r="AB984" s="131"/>
      <c r="AC984" s="131"/>
    </row>
    <row r="985" spans="2:29" x14ac:dyDescent="0.2">
      <c r="B985" s="151"/>
      <c r="C985" s="152"/>
      <c r="H985" s="340"/>
      <c r="L985" s="131"/>
      <c r="M985" s="131"/>
      <c r="N985" s="131"/>
      <c r="O985" s="131"/>
      <c r="P985" s="131"/>
      <c r="Q985" s="131"/>
      <c r="R985" s="131"/>
      <c r="S985" s="131"/>
      <c r="T985" s="131"/>
      <c r="U985" s="131"/>
      <c r="V985" s="131"/>
      <c r="W985" s="131"/>
      <c r="X985" s="131"/>
      <c r="Y985" s="131"/>
      <c r="Z985" s="131"/>
      <c r="AA985" s="131"/>
      <c r="AB985" s="131"/>
      <c r="AC985" s="131"/>
    </row>
    <row r="986" spans="2:29" x14ac:dyDescent="0.2">
      <c r="B986" s="151"/>
      <c r="C986" s="152"/>
      <c r="H986" s="340"/>
      <c r="L986" s="131"/>
      <c r="M986" s="131"/>
      <c r="N986" s="131"/>
      <c r="O986" s="131"/>
      <c r="P986" s="131"/>
      <c r="Q986" s="131"/>
      <c r="R986" s="131"/>
      <c r="S986" s="131"/>
      <c r="T986" s="131"/>
      <c r="U986" s="131"/>
      <c r="V986" s="131"/>
      <c r="W986" s="131"/>
      <c r="X986" s="131"/>
      <c r="Y986" s="131"/>
      <c r="Z986" s="131"/>
      <c r="AA986" s="131"/>
      <c r="AB986" s="131"/>
      <c r="AC986" s="131"/>
    </row>
    <row r="987" spans="2:29" x14ac:dyDescent="0.2">
      <c r="B987" s="151"/>
      <c r="C987" s="152"/>
      <c r="H987" s="340"/>
      <c r="L987" s="131"/>
      <c r="M987" s="131"/>
      <c r="N987" s="131"/>
      <c r="O987" s="131"/>
      <c r="P987" s="131"/>
      <c r="Q987" s="131"/>
      <c r="R987" s="131"/>
      <c r="S987" s="131"/>
      <c r="T987" s="131"/>
      <c r="U987" s="131"/>
      <c r="V987" s="131"/>
      <c r="W987" s="131"/>
      <c r="X987" s="131"/>
      <c r="Y987" s="131"/>
      <c r="Z987" s="131"/>
      <c r="AA987" s="131"/>
      <c r="AB987" s="131"/>
      <c r="AC987" s="131"/>
    </row>
    <row r="988" spans="2:29" x14ac:dyDescent="0.2">
      <c r="B988" s="151"/>
      <c r="C988" s="152"/>
      <c r="H988" s="340"/>
      <c r="L988" s="131"/>
      <c r="M988" s="131"/>
      <c r="N988" s="131"/>
      <c r="O988" s="131"/>
      <c r="P988" s="131"/>
      <c r="Q988" s="131"/>
      <c r="R988" s="131"/>
      <c r="S988" s="131"/>
      <c r="T988" s="131"/>
      <c r="U988" s="131"/>
      <c r="V988" s="131"/>
      <c r="W988" s="131"/>
      <c r="X988" s="131"/>
      <c r="Y988" s="131"/>
      <c r="Z988" s="131"/>
      <c r="AA988" s="131"/>
      <c r="AB988" s="131"/>
      <c r="AC988" s="131"/>
    </row>
    <row r="989" spans="2:29" x14ac:dyDescent="0.2">
      <c r="B989" s="151"/>
      <c r="C989" s="152"/>
      <c r="H989" s="340"/>
      <c r="L989" s="131"/>
      <c r="M989" s="131"/>
      <c r="N989" s="131"/>
      <c r="O989" s="131"/>
      <c r="P989" s="131"/>
      <c r="Q989" s="131"/>
      <c r="R989" s="131"/>
      <c r="S989" s="131"/>
      <c r="T989" s="131"/>
      <c r="U989" s="131"/>
      <c r="V989" s="131"/>
      <c r="W989" s="131"/>
      <c r="X989" s="131"/>
      <c r="Y989" s="131"/>
      <c r="Z989" s="131"/>
      <c r="AA989" s="131"/>
      <c r="AB989" s="131"/>
      <c r="AC989" s="131"/>
    </row>
    <row r="990" spans="2:29" x14ac:dyDescent="0.2">
      <c r="B990" s="151"/>
      <c r="C990" s="152"/>
      <c r="H990" s="340"/>
      <c r="L990" s="131"/>
      <c r="M990" s="131"/>
      <c r="N990" s="131"/>
      <c r="O990" s="131"/>
      <c r="P990" s="131"/>
      <c r="Q990" s="131"/>
      <c r="R990" s="131"/>
      <c r="S990" s="131"/>
      <c r="T990" s="131"/>
      <c r="U990" s="131"/>
      <c r="V990" s="131"/>
      <c r="W990" s="131"/>
      <c r="X990" s="131"/>
      <c r="Y990" s="131"/>
      <c r="Z990" s="131"/>
      <c r="AA990" s="131"/>
      <c r="AB990" s="131"/>
      <c r="AC990" s="131"/>
    </row>
    <row r="991" spans="2:29" x14ac:dyDescent="0.2">
      <c r="B991" s="151"/>
      <c r="C991" s="152"/>
      <c r="H991" s="340"/>
      <c r="L991" s="131"/>
      <c r="M991" s="131"/>
      <c r="N991" s="131"/>
      <c r="O991" s="131"/>
      <c r="P991" s="131"/>
      <c r="Q991" s="131"/>
      <c r="R991" s="131"/>
      <c r="S991" s="131"/>
      <c r="T991" s="131"/>
      <c r="U991" s="131"/>
      <c r="V991" s="131"/>
      <c r="W991" s="131"/>
      <c r="X991" s="131"/>
      <c r="Y991" s="131"/>
      <c r="Z991" s="131"/>
      <c r="AA991" s="131"/>
      <c r="AB991" s="131"/>
      <c r="AC991" s="131"/>
    </row>
    <row r="992" spans="2:29" x14ac:dyDescent="0.2">
      <c r="B992" s="151"/>
      <c r="C992" s="152"/>
      <c r="H992" s="340"/>
      <c r="L992" s="131"/>
      <c r="M992" s="131"/>
      <c r="N992" s="131"/>
      <c r="O992" s="131"/>
      <c r="P992" s="131"/>
      <c r="Q992" s="131"/>
      <c r="R992" s="131"/>
      <c r="S992" s="131"/>
      <c r="T992" s="131"/>
      <c r="U992" s="131"/>
      <c r="V992" s="131"/>
      <c r="W992" s="131"/>
      <c r="X992" s="131"/>
      <c r="Y992" s="131"/>
      <c r="Z992" s="131"/>
      <c r="AA992" s="131"/>
      <c r="AB992" s="131"/>
      <c r="AC992" s="131"/>
    </row>
    <row r="993" spans="2:29" x14ac:dyDescent="0.2">
      <c r="B993" s="151"/>
      <c r="C993" s="152"/>
      <c r="H993" s="340"/>
      <c r="L993" s="131"/>
      <c r="M993" s="131"/>
      <c r="N993" s="131"/>
      <c r="O993" s="131"/>
      <c r="P993" s="131"/>
      <c r="Q993" s="131"/>
      <c r="R993" s="131"/>
      <c r="S993" s="131"/>
      <c r="T993" s="131"/>
      <c r="U993" s="131"/>
      <c r="V993" s="131"/>
      <c r="W993" s="131"/>
      <c r="X993" s="131"/>
      <c r="Y993" s="131"/>
      <c r="Z993" s="131"/>
      <c r="AA993" s="131"/>
      <c r="AB993" s="131"/>
      <c r="AC993" s="131"/>
    </row>
    <row r="994" spans="2:29" x14ac:dyDescent="0.2">
      <c r="B994" s="151"/>
      <c r="C994" s="152"/>
      <c r="H994" s="340"/>
      <c r="L994" s="131"/>
      <c r="M994" s="131"/>
      <c r="N994" s="131"/>
      <c r="O994" s="131"/>
      <c r="P994" s="131"/>
      <c r="Q994" s="131"/>
      <c r="R994" s="131"/>
      <c r="S994" s="131"/>
      <c r="T994" s="131"/>
      <c r="U994" s="131"/>
      <c r="V994" s="131"/>
      <c r="W994" s="131"/>
      <c r="X994" s="131"/>
      <c r="Y994" s="131"/>
      <c r="Z994" s="131"/>
      <c r="AA994" s="131"/>
      <c r="AB994" s="131"/>
      <c r="AC994" s="131"/>
    </row>
    <row r="995" spans="2:29" x14ac:dyDescent="0.2">
      <c r="B995" s="151"/>
      <c r="C995" s="152"/>
      <c r="H995" s="340"/>
      <c r="L995" s="131"/>
      <c r="M995" s="131"/>
      <c r="N995" s="131"/>
      <c r="O995" s="131"/>
      <c r="P995" s="131"/>
      <c r="Q995" s="131"/>
      <c r="R995" s="131"/>
      <c r="S995" s="131"/>
      <c r="T995" s="131"/>
      <c r="U995" s="131"/>
      <c r="V995" s="131"/>
      <c r="W995" s="131"/>
      <c r="X995" s="131"/>
      <c r="Y995" s="131"/>
      <c r="Z995" s="131"/>
      <c r="AA995" s="131"/>
      <c r="AB995" s="131"/>
      <c r="AC995" s="131"/>
    </row>
    <row r="996" spans="2:29" x14ac:dyDescent="0.2">
      <c r="B996" s="151"/>
      <c r="C996" s="152"/>
      <c r="H996" s="340"/>
      <c r="L996" s="131"/>
      <c r="M996" s="131"/>
      <c r="N996" s="131"/>
      <c r="O996" s="131"/>
      <c r="P996" s="131"/>
      <c r="Q996" s="131"/>
      <c r="R996" s="131"/>
      <c r="S996" s="131"/>
      <c r="T996" s="131"/>
      <c r="U996" s="131"/>
      <c r="V996" s="131"/>
      <c r="W996" s="131"/>
      <c r="X996" s="131"/>
      <c r="Y996" s="131"/>
      <c r="Z996" s="131"/>
      <c r="AA996" s="131"/>
      <c r="AB996" s="131"/>
      <c r="AC996" s="131"/>
    </row>
    <row r="997" spans="2:29" x14ac:dyDescent="0.2">
      <c r="B997" s="151"/>
      <c r="C997" s="152"/>
      <c r="H997" s="340"/>
      <c r="L997" s="131"/>
      <c r="M997" s="131"/>
      <c r="N997" s="131"/>
      <c r="O997" s="131"/>
      <c r="P997" s="131"/>
      <c r="Q997" s="131"/>
      <c r="R997" s="131"/>
      <c r="S997" s="131"/>
      <c r="T997" s="131"/>
      <c r="U997" s="131"/>
      <c r="V997" s="131"/>
      <c r="W997" s="131"/>
      <c r="X997" s="131"/>
      <c r="Y997" s="131"/>
      <c r="Z997" s="131"/>
      <c r="AA997" s="131"/>
      <c r="AB997" s="131"/>
      <c r="AC997" s="131"/>
    </row>
    <row r="998" spans="2:29" x14ac:dyDescent="0.2">
      <c r="B998" s="151"/>
      <c r="C998" s="152"/>
      <c r="H998" s="340"/>
      <c r="L998" s="131"/>
      <c r="M998" s="131"/>
      <c r="N998" s="131"/>
      <c r="O998" s="131"/>
      <c r="P998" s="131"/>
      <c r="Q998" s="131"/>
      <c r="R998" s="131"/>
      <c r="S998" s="131"/>
      <c r="T998" s="131"/>
      <c r="U998" s="131"/>
      <c r="V998" s="131"/>
      <c r="W998" s="131"/>
      <c r="X998" s="131"/>
      <c r="Y998" s="131"/>
      <c r="Z998" s="131"/>
      <c r="AA998" s="131"/>
      <c r="AB998" s="131"/>
      <c r="AC998" s="131"/>
    </row>
    <row r="999" spans="2:29" x14ac:dyDescent="0.2">
      <c r="B999" s="151"/>
      <c r="C999" s="152"/>
      <c r="H999" s="340"/>
      <c r="L999" s="131"/>
      <c r="M999" s="131"/>
      <c r="N999" s="131"/>
      <c r="O999" s="131"/>
      <c r="P999" s="131"/>
      <c r="Q999" s="131"/>
      <c r="R999" s="131"/>
      <c r="S999" s="131"/>
      <c r="T999" s="131"/>
      <c r="U999" s="131"/>
      <c r="V999" s="131"/>
      <c r="W999" s="131"/>
      <c r="X999" s="131"/>
      <c r="Y999" s="131"/>
      <c r="Z999" s="131"/>
      <c r="AA999" s="131"/>
      <c r="AB999" s="131"/>
      <c r="AC999" s="131"/>
    </row>
    <row r="1000" spans="2:29" x14ac:dyDescent="0.2">
      <c r="B1000" s="151"/>
      <c r="C1000" s="152"/>
      <c r="H1000" s="340"/>
      <c r="L1000" s="131"/>
      <c r="M1000" s="131"/>
      <c r="N1000" s="131"/>
      <c r="O1000" s="131"/>
      <c r="P1000" s="131"/>
      <c r="Q1000" s="131"/>
      <c r="R1000" s="131"/>
      <c r="S1000" s="131"/>
      <c r="T1000" s="131"/>
      <c r="U1000" s="131"/>
      <c r="V1000" s="131"/>
      <c r="W1000" s="131"/>
      <c r="X1000" s="131"/>
      <c r="Y1000" s="131"/>
      <c r="Z1000" s="131"/>
      <c r="AA1000" s="131"/>
      <c r="AB1000" s="131"/>
      <c r="AC1000" s="131"/>
    </row>
    <row r="1001" spans="2:29" x14ac:dyDescent="0.2">
      <c r="B1001" s="151"/>
      <c r="C1001" s="152"/>
      <c r="H1001" s="340"/>
      <c r="L1001" s="131"/>
      <c r="M1001" s="131"/>
      <c r="N1001" s="131"/>
      <c r="O1001" s="131"/>
      <c r="P1001" s="131"/>
      <c r="Q1001" s="131"/>
      <c r="R1001" s="131"/>
      <c r="S1001" s="131"/>
      <c r="T1001" s="131"/>
      <c r="U1001" s="131"/>
      <c r="V1001" s="131"/>
      <c r="W1001" s="131"/>
      <c r="X1001" s="131"/>
      <c r="Y1001" s="131"/>
      <c r="Z1001" s="131"/>
      <c r="AA1001" s="131"/>
      <c r="AB1001" s="131"/>
      <c r="AC1001" s="131"/>
    </row>
    <row r="1002" spans="2:29" x14ac:dyDescent="0.2">
      <c r="B1002" s="151"/>
      <c r="C1002" s="152"/>
      <c r="H1002" s="340"/>
      <c r="L1002" s="131"/>
      <c r="M1002" s="131"/>
      <c r="N1002" s="131"/>
      <c r="O1002" s="131"/>
      <c r="P1002" s="131"/>
      <c r="Q1002" s="131"/>
      <c r="R1002" s="131"/>
      <c r="S1002" s="131"/>
      <c r="T1002" s="131"/>
      <c r="U1002" s="131"/>
      <c r="V1002" s="131"/>
      <c r="W1002" s="131"/>
      <c r="X1002" s="131"/>
      <c r="Y1002" s="131"/>
      <c r="Z1002" s="131"/>
      <c r="AA1002" s="131"/>
      <c r="AB1002" s="131"/>
      <c r="AC1002" s="131"/>
    </row>
    <row r="1003" spans="2:29" x14ac:dyDescent="0.2">
      <c r="B1003" s="151"/>
      <c r="C1003" s="152"/>
      <c r="H1003" s="340"/>
      <c r="L1003" s="131"/>
      <c r="M1003" s="131"/>
      <c r="N1003" s="131"/>
      <c r="O1003" s="131"/>
      <c r="P1003" s="131"/>
      <c r="Q1003" s="131"/>
      <c r="R1003" s="131"/>
      <c r="S1003" s="131"/>
      <c r="T1003" s="131"/>
      <c r="U1003" s="131"/>
      <c r="V1003" s="131"/>
      <c r="W1003" s="131"/>
      <c r="X1003" s="131"/>
      <c r="Y1003" s="131"/>
      <c r="Z1003" s="131"/>
      <c r="AA1003" s="131"/>
      <c r="AB1003" s="131"/>
      <c r="AC1003" s="131"/>
    </row>
    <row r="1004" spans="2:29" x14ac:dyDescent="0.2">
      <c r="B1004" s="151"/>
      <c r="C1004" s="152"/>
      <c r="H1004" s="340"/>
      <c r="L1004" s="131"/>
      <c r="M1004" s="131"/>
      <c r="N1004" s="131"/>
      <c r="O1004" s="131"/>
      <c r="P1004" s="131"/>
      <c r="Q1004" s="131"/>
      <c r="R1004" s="131"/>
      <c r="S1004" s="131"/>
      <c r="T1004" s="131"/>
      <c r="U1004" s="131"/>
      <c r="V1004" s="131"/>
      <c r="W1004" s="131"/>
      <c r="X1004" s="131"/>
      <c r="Y1004" s="131"/>
      <c r="Z1004" s="131"/>
      <c r="AA1004" s="131"/>
      <c r="AB1004" s="131"/>
      <c r="AC1004" s="131"/>
    </row>
    <row r="1005" spans="2:29" x14ac:dyDescent="0.2">
      <c r="B1005" s="151"/>
      <c r="C1005" s="152"/>
      <c r="H1005" s="340"/>
      <c r="L1005" s="131"/>
      <c r="M1005" s="131"/>
      <c r="N1005" s="131"/>
      <c r="O1005" s="131"/>
      <c r="P1005" s="131"/>
      <c r="Q1005" s="131"/>
      <c r="R1005" s="131"/>
      <c r="S1005" s="131"/>
      <c r="T1005" s="131"/>
      <c r="U1005" s="131"/>
      <c r="V1005" s="131"/>
      <c r="W1005" s="131"/>
      <c r="X1005" s="131"/>
      <c r="Y1005" s="131"/>
      <c r="Z1005" s="131"/>
      <c r="AA1005" s="131"/>
      <c r="AB1005" s="131"/>
      <c r="AC1005" s="131"/>
    </row>
    <row r="1006" spans="2:29" x14ac:dyDescent="0.2">
      <c r="B1006" s="151"/>
      <c r="C1006" s="152"/>
      <c r="H1006" s="340"/>
      <c r="L1006" s="131"/>
      <c r="M1006" s="131"/>
      <c r="N1006" s="131"/>
      <c r="O1006" s="131"/>
      <c r="P1006" s="131"/>
      <c r="Q1006" s="131"/>
      <c r="R1006" s="131"/>
      <c r="S1006" s="131"/>
      <c r="T1006" s="131"/>
      <c r="U1006" s="131"/>
      <c r="V1006" s="131"/>
      <c r="W1006" s="131"/>
      <c r="X1006" s="131"/>
      <c r="Y1006" s="131"/>
      <c r="Z1006" s="131"/>
      <c r="AA1006" s="131"/>
      <c r="AB1006" s="131"/>
      <c r="AC1006" s="131"/>
    </row>
    <row r="1007" spans="2:29" x14ac:dyDescent="0.2">
      <c r="B1007" s="151"/>
      <c r="C1007" s="152"/>
      <c r="H1007" s="340"/>
      <c r="L1007" s="131"/>
      <c r="M1007" s="131"/>
      <c r="N1007" s="131"/>
      <c r="O1007" s="131"/>
      <c r="P1007" s="131"/>
      <c r="Q1007" s="131"/>
      <c r="R1007" s="131"/>
      <c r="S1007" s="131"/>
      <c r="T1007" s="131"/>
      <c r="U1007" s="131"/>
      <c r="V1007" s="131"/>
      <c r="W1007" s="131"/>
      <c r="X1007" s="131"/>
      <c r="Y1007" s="131"/>
      <c r="Z1007" s="131"/>
      <c r="AA1007" s="131"/>
      <c r="AB1007" s="131"/>
      <c r="AC1007" s="131"/>
    </row>
    <row r="1008" spans="2:29" x14ac:dyDescent="0.2">
      <c r="B1008" s="151"/>
      <c r="C1008" s="152"/>
      <c r="H1008" s="340"/>
      <c r="L1008" s="131"/>
      <c r="M1008" s="131"/>
      <c r="N1008" s="131"/>
      <c r="O1008" s="131"/>
      <c r="P1008" s="131"/>
      <c r="Q1008" s="131"/>
      <c r="R1008" s="131"/>
      <c r="S1008" s="131"/>
      <c r="T1008" s="131"/>
      <c r="U1008" s="131"/>
      <c r="V1008" s="131"/>
      <c r="W1008" s="131"/>
      <c r="X1008" s="131"/>
      <c r="Y1008" s="131"/>
      <c r="Z1008" s="131"/>
      <c r="AA1008" s="131"/>
      <c r="AB1008" s="131"/>
      <c r="AC1008" s="131"/>
    </row>
    <row r="1009" spans="2:29" x14ac:dyDescent="0.2">
      <c r="B1009" s="151"/>
      <c r="C1009" s="152"/>
      <c r="H1009" s="340"/>
      <c r="L1009" s="131"/>
      <c r="M1009" s="131"/>
      <c r="N1009" s="131"/>
      <c r="O1009" s="131"/>
      <c r="P1009" s="131"/>
      <c r="Q1009" s="131"/>
      <c r="R1009" s="131"/>
      <c r="S1009" s="131"/>
      <c r="T1009" s="131"/>
      <c r="U1009" s="131"/>
      <c r="V1009" s="131"/>
      <c r="W1009" s="131"/>
      <c r="X1009" s="131"/>
      <c r="Y1009" s="131"/>
      <c r="Z1009" s="131"/>
      <c r="AA1009" s="131"/>
      <c r="AB1009" s="131"/>
      <c r="AC1009" s="131"/>
    </row>
    <row r="1010" spans="2:29" x14ac:dyDescent="0.2">
      <c r="B1010" s="151"/>
      <c r="C1010" s="152"/>
      <c r="H1010" s="340"/>
      <c r="L1010" s="131"/>
      <c r="M1010" s="131"/>
      <c r="N1010" s="131"/>
      <c r="O1010" s="131"/>
      <c r="P1010" s="131"/>
      <c r="Q1010" s="131"/>
      <c r="R1010" s="131"/>
      <c r="S1010" s="131"/>
      <c r="T1010" s="131"/>
      <c r="U1010" s="131"/>
      <c r="V1010" s="131"/>
      <c r="W1010" s="131"/>
      <c r="X1010" s="131"/>
      <c r="Y1010" s="131"/>
      <c r="Z1010" s="131"/>
      <c r="AA1010" s="131"/>
      <c r="AB1010" s="131"/>
      <c r="AC1010" s="131"/>
    </row>
    <row r="1011" spans="2:29" x14ac:dyDescent="0.2">
      <c r="B1011" s="151"/>
      <c r="C1011" s="152"/>
      <c r="H1011" s="340"/>
      <c r="L1011" s="131"/>
      <c r="M1011" s="131"/>
      <c r="N1011" s="131"/>
      <c r="O1011" s="131"/>
      <c r="P1011" s="131"/>
      <c r="Q1011" s="131"/>
      <c r="R1011" s="131"/>
      <c r="S1011" s="131"/>
      <c r="T1011" s="131"/>
      <c r="U1011" s="131"/>
      <c r="V1011" s="131"/>
      <c r="W1011" s="131"/>
      <c r="X1011" s="131"/>
      <c r="Y1011" s="131"/>
      <c r="Z1011" s="131"/>
      <c r="AA1011" s="131"/>
      <c r="AB1011" s="131"/>
      <c r="AC1011" s="131"/>
    </row>
    <row r="1012" spans="2:29" x14ac:dyDescent="0.2">
      <c r="B1012" s="151"/>
      <c r="C1012" s="152"/>
      <c r="H1012" s="340"/>
      <c r="L1012" s="131"/>
      <c r="M1012" s="131"/>
      <c r="N1012" s="131"/>
      <c r="O1012" s="131"/>
      <c r="P1012" s="131"/>
      <c r="Q1012" s="131"/>
      <c r="R1012" s="131"/>
      <c r="S1012" s="131"/>
      <c r="T1012" s="131"/>
      <c r="U1012" s="131"/>
      <c r="V1012" s="131"/>
      <c r="W1012" s="131"/>
      <c r="X1012" s="131"/>
      <c r="Y1012" s="131"/>
      <c r="Z1012" s="131"/>
      <c r="AA1012" s="131"/>
      <c r="AB1012" s="131"/>
      <c r="AC1012" s="131"/>
    </row>
    <row r="1013" spans="2:29" x14ac:dyDescent="0.2">
      <c r="B1013" s="151"/>
      <c r="C1013" s="152"/>
      <c r="H1013" s="340"/>
      <c r="L1013" s="131"/>
      <c r="M1013" s="131"/>
      <c r="N1013" s="131"/>
      <c r="O1013" s="131"/>
      <c r="P1013" s="131"/>
      <c r="Q1013" s="131"/>
      <c r="R1013" s="131"/>
      <c r="S1013" s="131"/>
      <c r="T1013" s="131"/>
      <c r="U1013" s="131"/>
      <c r="V1013" s="131"/>
      <c r="W1013" s="131"/>
      <c r="X1013" s="131"/>
      <c r="Y1013" s="131"/>
      <c r="Z1013" s="131"/>
      <c r="AA1013" s="131"/>
      <c r="AB1013" s="131"/>
      <c r="AC1013" s="131"/>
    </row>
    <row r="1014" spans="2:29" x14ac:dyDescent="0.2">
      <c r="B1014" s="151"/>
      <c r="C1014" s="152"/>
      <c r="H1014" s="340"/>
      <c r="L1014" s="131"/>
      <c r="M1014" s="131"/>
      <c r="N1014" s="131"/>
      <c r="O1014" s="131"/>
      <c r="P1014" s="131"/>
      <c r="Q1014" s="131"/>
      <c r="R1014" s="131"/>
      <c r="S1014" s="131"/>
      <c r="T1014" s="131"/>
      <c r="U1014" s="131"/>
      <c r="V1014" s="131"/>
      <c r="W1014" s="131"/>
      <c r="X1014" s="131"/>
      <c r="Y1014" s="131"/>
      <c r="Z1014" s="131"/>
      <c r="AA1014" s="131"/>
      <c r="AB1014" s="131"/>
      <c r="AC1014" s="131"/>
    </row>
    <row r="1015" spans="2:29" x14ac:dyDescent="0.2">
      <c r="B1015" s="151"/>
      <c r="C1015" s="152"/>
      <c r="H1015" s="340"/>
      <c r="L1015" s="131"/>
      <c r="M1015" s="131"/>
      <c r="N1015" s="131"/>
      <c r="O1015" s="131"/>
      <c r="P1015" s="131"/>
      <c r="Q1015" s="131"/>
      <c r="R1015" s="131"/>
      <c r="S1015" s="131"/>
      <c r="T1015" s="131"/>
      <c r="U1015" s="131"/>
      <c r="V1015" s="131"/>
      <c r="W1015" s="131"/>
      <c r="X1015" s="131"/>
      <c r="Y1015" s="131"/>
      <c r="Z1015" s="131"/>
      <c r="AA1015" s="131"/>
      <c r="AB1015" s="131"/>
      <c r="AC1015" s="131"/>
    </row>
    <row r="1016" spans="2:29" x14ac:dyDescent="0.2">
      <c r="B1016" s="151"/>
      <c r="C1016" s="152"/>
      <c r="H1016" s="340"/>
      <c r="L1016" s="131"/>
      <c r="M1016" s="131"/>
      <c r="N1016" s="131"/>
      <c r="O1016" s="131"/>
      <c r="P1016" s="131"/>
      <c r="Q1016" s="131"/>
      <c r="R1016" s="131"/>
      <c r="S1016" s="131"/>
      <c r="T1016" s="131"/>
      <c r="U1016" s="131"/>
      <c r="V1016" s="131"/>
      <c r="W1016" s="131"/>
      <c r="X1016" s="131"/>
      <c r="Y1016" s="131"/>
      <c r="Z1016" s="131"/>
      <c r="AA1016" s="131"/>
      <c r="AB1016" s="131"/>
      <c r="AC1016" s="131"/>
    </row>
    <row r="1017" spans="2:29" x14ac:dyDescent="0.2">
      <c r="B1017" s="151"/>
      <c r="C1017" s="152"/>
      <c r="H1017" s="340"/>
      <c r="L1017" s="131"/>
      <c r="M1017" s="131"/>
      <c r="N1017" s="131"/>
      <c r="O1017" s="131"/>
      <c r="P1017" s="131"/>
      <c r="Q1017" s="131"/>
      <c r="R1017" s="131"/>
      <c r="S1017" s="131"/>
      <c r="T1017" s="131"/>
      <c r="U1017" s="131"/>
      <c r="V1017" s="131"/>
      <c r="W1017" s="131"/>
      <c r="X1017" s="131"/>
      <c r="Y1017" s="131"/>
      <c r="Z1017" s="131"/>
      <c r="AA1017" s="131"/>
      <c r="AB1017" s="131"/>
      <c r="AC1017" s="131"/>
    </row>
    <row r="1018" spans="2:29" x14ac:dyDescent="0.2">
      <c r="B1018" s="151"/>
      <c r="C1018" s="152"/>
      <c r="H1018" s="340"/>
      <c r="L1018" s="131"/>
      <c r="M1018" s="131"/>
      <c r="N1018" s="131"/>
      <c r="O1018" s="131"/>
      <c r="P1018" s="131"/>
      <c r="Q1018" s="131"/>
      <c r="R1018" s="131"/>
      <c r="S1018" s="131"/>
      <c r="T1018" s="131"/>
      <c r="U1018" s="131"/>
      <c r="V1018" s="131"/>
      <c r="W1018" s="131"/>
      <c r="X1018" s="131"/>
      <c r="Y1018" s="131"/>
      <c r="Z1018" s="131"/>
      <c r="AA1018" s="131"/>
      <c r="AB1018" s="131"/>
      <c r="AC1018" s="131"/>
    </row>
    <row r="1019" spans="2:29" x14ac:dyDescent="0.2">
      <c r="B1019" s="151"/>
      <c r="C1019" s="152"/>
      <c r="H1019" s="340"/>
      <c r="L1019" s="131"/>
      <c r="M1019" s="131"/>
      <c r="N1019" s="131"/>
      <c r="O1019" s="131"/>
      <c r="P1019" s="131"/>
      <c r="Q1019" s="131"/>
      <c r="R1019" s="131"/>
      <c r="S1019" s="131"/>
      <c r="T1019" s="131"/>
      <c r="U1019" s="131"/>
      <c r="V1019" s="131"/>
      <c r="W1019" s="131"/>
      <c r="X1019" s="131"/>
      <c r="Y1019" s="131"/>
      <c r="Z1019" s="131"/>
      <c r="AA1019" s="131"/>
      <c r="AB1019" s="131"/>
      <c r="AC1019" s="131"/>
    </row>
    <row r="1020" spans="2:29" x14ac:dyDescent="0.2">
      <c r="B1020" s="151"/>
      <c r="C1020" s="152"/>
      <c r="H1020" s="340"/>
      <c r="L1020" s="131"/>
      <c r="M1020" s="131"/>
      <c r="N1020" s="131"/>
      <c r="O1020" s="131"/>
      <c r="P1020" s="131"/>
      <c r="Q1020" s="131"/>
      <c r="R1020" s="131"/>
      <c r="S1020" s="131"/>
      <c r="T1020" s="131"/>
      <c r="U1020" s="131"/>
      <c r="V1020" s="131"/>
      <c r="W1020" s="131"/>
      <c r="X1020" s="131"/>
      <c r="Y1020" s="131"/>
      <c r="Z1020" s="131"/>
      <c r="AA1020" s="131"/>
      <c r="AB1020" s="131"/>
      <c r="AC1020" s="131"/>
    </row>
    <row r="1021" spans="2:29" x14ac:dyDescent="0.2">
      <c r="B1021" s="151"/>
      <c r="C1021" s="152"/>
      <c r="H1021" s="340"/>
      <c r="L1021" s="131"/>
      <c r="M1021" s="131"/>
      <c r="N1021" s="131"/>
      <c r="O1021" s="131"/>
      <c r="P1021" s="131"/>
      <c r="Q1021" s="131"/>
      <c r="R1021" s="131"/>
      <c r="S1021" s="131"/>
      <c r="T1021" s="131"/>
      <c r="U1021" s="131"/>
      <c r="V1021" s="131"/>
      <c r="W1021" s="131"/>
      <c r="X1021" s="131"/>
      <c r="Y1021" s="131"/>
      <c r="Z1021" s="131"/>
      <c r="AA1021" s="131"/>
      <c r="AB1021" s="131"/>
      <c r="AC1021" s="131"/>
    </row>
    <row r="1022" spans="2:29" x14ac:dyDescent="0.2">
      <c r="B1022" s="151"/>
      <c r="C1022" s="152"/>
      <c r="H1022" s="340"/>
      <c r="L1022" s="131"/>
      <c r="M1022" s="131"/>
      <c r="N1022" s="131"/>
      <c r="O1022" s="131"/>
      <c r="P1022" s="131"/>
      <c r="Q1022" s="131"/>
      <c r="R1022" s="131"/>
      <c r="S1022" s="131"/>
      <c r="T1022" s="131"/>
      <c r="U1022" s="131"/>
      <c r="V1022" s="131"/>
      <c r="W1022" s="131"/>
      <c r="X1022" s="131"/>
      <c r="Y1022" s="131"/>
      <c r="Z1022" s="131"/>
      <c r="AA1022" s="131"/>
      <c r="AB1022" s="131"/>
      <c r="AC1022" s="131"/>
    </row>
    <row r="1023" spans="2:29" x14ac:dyDescent="0.2">
      <c r="B1023" s="151"/>
      <c r="C1023" s="152"/>
      <c r="H1023" s="340"/>
      <c r="L1023" s="131"/>
      <c r="M1023" s="131"/>
      <c r="N1023" s="131"/>
      <c r="O1023" s="131"/>
      <c r="P1023" s="131"/>
      <c r="Q1023" s="131"/>
      <c r="R1023" s="131"/>
      <c r="S1023" s="131"/>
      <c r="T1023" s="131"/>
      <c r="U1023" s="131"/>
      <c r="V1023" s="131"/>
      <c r="W1023" s="131"/>
      <c r="X1023" s="131"/>
      <c r="Y1023" s="131"/>
      <c r="Z1023" s="131"/>
      <c r="AA1023" s="131"/>
      <c r="AB1023" s="131"/>
      <c r="AC1023" s="131"/>
    </row>
    <row r="1024" spans="2:29" x14ac:dyDescent="0.2">
      <c r="B1024" s="151"/>
      <c r="C1024" s="152"/>
      <c r="H1024" s="340"/>
      <c r="L1024" s="131"/>
      <c r="M1024" s="131"/>
      <c r="N1024" s="131"/>
      <c r="O1024" s="131"/>
      <c r="P1024" s="131"/>
      <c r="Q1024" s="131"/>
      <c r="R1024" s="131"/>
      <c r="S1024" s="131"/>
      <c r="T1024" s="131"/>
      <c r="U1024" s="131"/>
      <c r="V1024" s="131"/>
      <c r="W1024" s="131"/>
      <c r="X1024" s="131"/>
      <c r="Y1024" s="131"/>
      <c r="Z1024" s="131"/>
      <c r="AA1024" s="131"/>
      <c r="AB1024" s="131"/>
      <c r="AC1024" s="131"/>
    </row>
    <row r="1025" spans="2:29" x14ac:dyDescent="0.2">
      <c r="B1025" s="151"/>
      <c r="C1025" s="152"/>
      <c r="H1025" s="340"/>
      <c r="L1025" s="131"/>
      <c r="M1025" s="131"/>
      <c r="N1025" s="131"/>
      <c r="O1025" s="131"/>
      <c r="P1025" s="131"/>
      <c r="Q1025" s="131"/>
      <c r="R1025" s="131"/>
      <c r="S1025" s="131"/>
      <c r="T1025" s="131"/>
      <c r="U1025" s="131"/>
      <c r="V1025" s="131"/>
      <c r="W1025" s="131"/>
      <c r="X1025" s="131"/>
      <c r="Y1025" s="131"/>
      <c r="Z1025" s="131"/>
      <c r="AA1025" s="131"/>
      <c r="AB1025" s="131"/>
      <c r="AC1025" s="131"/>
    </row>
    <row r="1026" spans="2:29" x14ac:dyDescent="0.2">
      <c r="B1026" s="151"/>
      <c r="C1026" s="152"/>
      <c r="H1026" s="340"/>
      <c r="L1026" s="131"/>
      <c r="M1026" s="131"/>
      <c r="N1026" s="131"/>
      <c r="O1026" s="131"/>
      <c r="P1026" s="131"/>
      <c r="Q1026" s="131"/>
      <c r="R1026" s="131"/>
      <c r="S1026" s="131"/>
      <c r="T1026" s="131"/>
      <c r="U1026" s="131"/>
      <c r="V1026" s="131"/>
      <c r="W1026" s="131"/>
      <c r="X1026" s="131"/>
      <c r="Y1026" s="131"/>
      <c r="Z1026" s="131"/>
      <c r="AA1026" s="131"/>
      <c r="AB1026" s="131"/>
      <c r="AC1026" s="131"/>
    </row>
    <row r="1027" spans="2:29" x14ac:dyDescent="0.2">
      <c r="B1027" s="151"/>
      <c r="C1027" s="152"/>
      <c r="H1027" s="340"/>
      <c r="L1027" s="131"/>
      <c r="M1027" s="131"/>
      <c r="N1027" s="131"/>
      <c r="O1027" s="131"/>
      <c r="P1027" s="131"/>
      <c r="Q1027" s="131"/>
      <c r="R1027" s="131"/>
      <c r="S1027" s="131"/>
      <c r="T1027" s="131"/>
      <c r="U1027" s="131"/>
      <c r="V1027" s="131"/>
      <c r="W1027" s="131"/>
      <c r="X1027" s="131"/>
      <c r="Y1027" s="131"/>
      <c r="Z1027" s="131"/>
      <c r="AA1027" s="131"/>
      <c r="AB1027" s="131"/>
      <c r="AC1027" s="131"/>
    </row>
    <row r="1028" spans="2:29" x14ac:dyDescent="0.2">
      <c r="B1028" s="151"/>
      <c r="C1028" s="152"/>
      <c r="H1028" s="340"/>
      <c r="L1028" s="131"/>
      <c r="M1028" s="131"/>
      <c r="N1028" s="131"/>
      <c r="O1028" s="131"/>
      <c r="P1028" s="131"/>
      <c r="Q1028" s="131"/>
      <c r="R1028" s="131"/>
      <c r="S1028" s="131"/>
      <c r="T1028" s="131"/>
      <c r="U1028" s="131"/>
      <c r="V1028" s="131"/>
      <c r="W1028" s="131"/>
      <c r="X1028" s="131"/>
      <c r="Y1028" s="131"/>
      <c r="Z1028" s="131"/>
      <c r="AA1028" s="131"/>
      <c r="AB1028" s="131"/>
      <c r="AC1028" s="131"/>
    </row>
    <row r="1029" spans="2:29" x14ac:dyDescent="0.2">
      <c r="B1029" s="151"/>
      <c r="C1029" s="152"/>
      <c r="H1029" s="340"/>
      <c r="L1029" s="131"/>
      <c r="M1029" s="131"/>
      <c r="N1029" s="131"/>
      <c r="O1029" s="131"/>
      <c r="P1029" s="131"/>
      <c r="Q1029" s="131"/>
      <c r="R1029" s="131"/>
      <c r="S1029" s="131"/>
      <c r="T1029" s="131"/>
      <c r="U1029" s="131"/>
      <c r="V1029" s="131"/>
      <c r="W1029" s="131"/>
      <c r="X1029" s="131"/>
      <c r="Y1029" s="131"/>
      <c r="Z1029" s="131"/>
      <c r="AA1029" s="131"/>
      <c r="AB1029" s="131"/>
      <c r="AC1029" s="131"/>
    </row>
    <row r="1030" spans="2:29" x14ac:dyDescent="0.2">
      <c r="B1030" s="151"/>
      <c r="C1030" s="152"/>
      <c r="H1030" s="340"/>
      <c r="L1030" s="131"/>
      <c r="M1030" s="131"/>
      <c r="N1030" s="131"/>
      <c r="O1030" s="131"/>
      <c r="P1030" s="131"/>
      <c r="Q1030" s="131"/>
      <c r="R1030" s="131"/>
      <c r="S1030" s="131"/>
      <c r="T1030" s="131"/>
      <c r="U1030" s="131"/>
      <c r="V1030" s="131"/>
      <c r="W1030" s="131"/>
      <c r="X1030" s="131"/>
      <c r="Y1030" s="131"/>
      <c r="Z1030" s="131"/>
      <c r="AA1030" s="131"/>
      <c r="AB1030" s="131"/>
      <c r="AC1030" s="131"/>
    </row>
    <row r="1031" spans="2:29" x14ac:dyDescent="0.2">
      <c r="B1031" s="151"/>
      <c r="C1031" s="152"/>
      <c r="H1031" s="340"/>
      <c r="L1031" s="131"/>
      <c r="M1031" s="131"/>
      <c r="N1031" s="131"/>
      <c r="O1031" s="131"/>
      <c r="P1031" s="131"/>
      <c r="Q1031" s="131"/>
      <c r="R1031" s="131"/>
      <c r="S1031" s="131"/>
      <c r="T1031" s="131"/>
      <c r="U1031" s="131"/>
      <c r="V1031" s="131"/>
      <c r="W1031" s="131"/>
      <c r="X1031" s="131"/>
      <c r="Y1031" s="131"/>
      <c r="Z1031" s="131"/>
      <c r="AA1031" s="131"/>
      <c r="AB1031" s="131"/>
      <c r="AC1031" s="131"/>
    </row>
    <row r="1032" spans="2:29" x14ac:dyDescent="0.2">
      <c r="B1032" s="151"/>
      <c r="C1032" s="152"/>
      <c r="H1032" s="340"/>
      <c r="L1032" s="131"/>
      <c r="M1032" s="131"/>
      <c r="N1032" s="131"/>
      <c r="O1032" s="131"/>
      <c r="P1032" s="131"/>
      <c r="Q1032" s="131"/>
      <c r="R1032" s="131"/>
      <c r="S1032" s="131"/>
      <c r="T1032" s="131"/>
      <c r="U1032" s="131"/>
      <c r="V1032" s="131"/>
      <c r="W1032" s="131"/>
      <c r="X1032" s="131"/>
      <c r="Y1032" s="131"/>
      <c r="Z1032" s="131"/>
      <c r="AA1032" s="131"/>
      <c r="AB1032" s="131"/>
      <c r="AC1032" s="131"/>
    </row>
    <row r="1033" spans="2:29" x14ac:dyDescent="0.2">
      <c r="B1033" s="151"/>
      <c r="C1033" s="152"/>
      <c r="H1033" s="340"/>
      <c r="L1033" s="131"/>
      <c r="M1033" s="131"/>
      <c r="N1033" s="131"/>
      <c r="O1033" s="131"/>
      <c r="P1033" s="131"/>
      <c r="Q1033" s="131"/>
      <c r="R1033" s="131"/>
      <c r="S1033" s="131"/>
      <c r="T1033" s="131"/>
      <c r="U1033" s="131"/>
      <c r="V1033" s="131"/>
      <c r="W1033" s="131"/>
      <c r="X1033" s="131"/>
      <c r="Y1033" s="131"/>
      <c r="Z1033" s="131"/>
      <c r="AA1033" s="131"/>
      <c r="AB1033" s="131"/>
      <c r="AC1033" s="131"/>
    </row>
    <row r="1034" spans="2:29" x14ac:dyDescent="0.2">
      <c r="B1034" s="151"/>
      <c r="C1034" s="152"/>
      <c r="H1034" s="340"/>
      <c r="L1034" s="131"/>
      <c r="M1034" s="131"/>
      <c r="N1034" s="131"/>
      <c r="O1034" s="131"/>
      <c r="P1034" s="131"/>
      <c r="Q1034" s="131"/>
      <c r="R1034" s="131"/>
      <c r="S1034" s="131"/>
      <c r="T1034" s="131"/>
      <c r="U1034" s="131"/>
      <c r="V1034" s="131"/>
      <c r="W1034" s="131"/>
      <c r="X1034" s="131"/>
      <c r="Y1034" s="131"/>
      <c r="Z1034" s="131"/>
      <c r="AA1034" s="131"/>
      <c r="AB1034" s="131"/>
      <c r="AC1034" s="131"/>
    </row>
    <row r="1035" spans="2:29" x14ac:dyDescent="0.2">
      <c r="B1035" s="151"/>
      <c r="C1035" s="152"/>
      <c r="H1035" s="340"/>
      <c r="L1035" s="131"/>
      <c r="M1035" s="131"/>
      <c r="N1035" s="131"/>
      <c r="O1035" s="131"/>
      <c r="P1035" s="131"/>
      <c r="Q1035" s="131"/>
      <c r="R1035" s="131"/>
      <c r="S1035" s="131"/>
      <c r="T1035" s="131"/>
      <c r="U1035" s="131"/>
      <c r="V1035" s="131"/>
      <c r="W1035" s="131"/>
      <c r="X1035" s="131"/>
      <c r="Y1035" s="131"/>
      <c r="Z1035" s="131"/>
      <c r="AA1035" s="131"/>
      <c r="AB1035" s="131"/>
      <c r="AC1035" s="131"/>
    </row>
    <row r="1036" spans="2:29" x14ac:dyDescent="0.2">
      <c r="B1036" s="151"/>
      <c r="C1036" s="152"/>
      <c r="H1036" s="340"/>
      <c r="L1036" s="131"/>
      <c r="M1036" s="131"/>
      <c r="N1036" s="131"/>
      <c r="O1036" s="131"/>
      <c r="P1036" s="131"/>
      <c r="Q1036" s="131"/>
      <c r="R1036" s="131"/>
      <c r="S1036" s="131"/>
      <c r="T1036" s="131"/>
      <c r="U1036" s="131"/>
      <c r="V1036" s="131"/>
      <c r="W1036" s="131"/>
      <c r="X1036" s="131"/>
      <c r="Y1036" s="131"/>
      <c r="Z1036" s="131"/>
      <c r="AA1036" s="131"/>
      <c r="AB1036" s="131"/>
      <c r="AC1036" s="131"/>
    </row>
    <row r="1037" spans="2:29" x14ac:dyDescent="0.2">
      <c r="B1037" s="151"/>
      <c r="C1037" s="152"/>
      <c r="H1037" s="340"/>
      <c r="L1037" s="131"/>
      <c r="M1037" s="131"/>
      <c r="N1037" s="131"/>
      <c r="O1037" s="131"/>
      <c r="P1037" s="131"/>
      <c r="Q1037" s="131"/>
      <c r="R1037" s="131"/>
      <c r="S1037" s="131"/>
      <c r="T1037" s="131"/>
      <c r="U1037" s="131"/>
      <c r="V1037" s="131"/>
      <c r="W1037" s="131"/>
      <c r="X1037" s="131"/>
      <c r="Y1037" s="131"/>
      <c r="Z1037" s="131"/>
      <c r="AA1037" s="131"/>
      <c r="AB1037" s="131"/>
      <c r="AC1037" s="131"/>
    </row>
    <row r="1038" spans="2:29" x14ac:dyDescent="0.2">
      <c r="B1038" s="151"/>
      <c r="C1038" s="152"/>
      <c r="H1038" s="340"/>
      <c r="L1038" s="131"/>
      <c r="M1038" s="131"/>
      <c r="N1038" s="131"/>
      <c r="O1038" s="131"/>
      <c r="P1038" s="131"/>
      <c r="Q1038" s="131"/>
      <c r="R1038" s="131"/>
      <c r="S1038" s="131"/>
      <c r="T1038" s="131"/>
      <c r="U1038" s="131"/>
      <c r="V1038" s="131"/>
      <c r="W1038" s="131"/>
      <c r="X1038" s="131"/>
      <c r="Y1038" s="131"/>
      <c r="Z1038" s="131"/>
      <c r="AA1038" s="131"/>
      <c r="AB1038" s="131"/>
      <c r="AC1038" s="131"/>
    </row>
    <row r="1039" spans="2:29" x14ac:dyDescent="0.2">
      <c r="B1039" s="151"/>
      <c r="C1039" s="152"/>
      <c r="H1039" s="340"/>
      <c r="L1039" s="131"/>
      <c r="M1039" s="131"/>
      <c r="N1039" s="131"/>
      <c r="O1039" s="131"/>
      <c r="P1039" s="131"/>
      <c r="Q1039" s="131"/>
      <c r="R1039" s="131"/>
      <c r="S1039" s="131"/>
      <c r="T1039" s="131"/>
      <c r="U1039" s="131"/>
      <c r="V1039" s="131"/>
      <c r="W1039" s="131"/>
      <c r="X1039" s="131"/>
      <c r="Y1039" s="131"/>
      <c r="Z1039" s="131"/>
      <c r="AA1039" s="131"/>
      <c r="AB1039" s="131"/>
      <c r="AC1039" s="131"/>
    </row>
    <row r="1040" spans="2:29" x14ac:dyDescent="0.2">
      <c r="B1040" s="151"/>
      <c r="C1040" s="152"/>
      <c r="H1040" s="340"/>
      <c r="L1040" s="131"/>
      <c r="M1040" s="131"/>
      <c r="N1040" s="131"/>
      <c r="O1040" s="131"/>
      <c r="P1040" s="131"/>
      <c r="Q1040" s="131"/>
      <c r="R1040" s="131"/>
      <c r="S1040" s="131"/>
      <c r="T1040" s="131"/>
      <c r="U1040" s="131"/>
      <c r="V1040" s="131"/>
      <c r="W1040" s="131"/>
      <c r="X1040" s="131"/>
      <c r="Y1040" s="131"/>
      <c r="Z1040" s="131"/>
      <c r="AA1040" s="131"/>
      <c r="AB1040" s="131"/>
      <c r="AC1040" s="131"/>
    </row>
    <row r="1041" spans="2:29" x14ac:dyDescent="0.2">
      <c r="B1041" s="151"/>
      <c r="C1041" s="152"/>
      <c r="H1041" s="340"/>
      <c r="L1041" s="131"/>
      <c r="M1041" s="131"/>
      <c r="N1041" s="131"/>
      <c r="O1041" s="131"/>
      <c r="P1041" s="131"/>
      <c r="Q1041" s="131"/>
      <c r="R1041" s="131"/>
      <c r="S1041" s="131"/>
      <c r="T1041" s="131"/>
      <c r="U1041" s="131"/>
      <c r="V1041" s="131"/>
      <c r="W1041" s="131"/>
      <c r="X1041" s="131"/>
      <c r="Y1041" s="131"/>
      <c r="Z1041" s="131"/>
      <c r="AA1041" s="131"/>
      <c r="AB1041" s="131"/>
      <c r="AC1041" s="131"/>
    </row>
    <row r="1042" spans="2:29" x14ac:dyDescent="0.2">
      <c r="B1042" s="151"/>
      <c r="C1042" s="152"/>
      <c r="H1042" s="340"/>
      <c r="L1042" s="131"/>
      <c r="M1042" s="131"/>
      <c r="N1042" s="131"/>
      <c r="O1042" s="131"/>
      <c r="P1042" s="131"/>
      <c r="Q1042" s="131"/>
      <c r="R1042" s="131"/>
      <c r="S1042" s="131"/>
      <c r="T1042" s="131"/>
      <c r="U1042" s="131"/>
      <c r="V1042" s="131"/>
      <c r="W1042" s="131"/>
      <c r="X1042" s="131"/>
      <c r="Y1042" s="131"/>
      <c r="Z1042" s="131"/>
      <c r="AA1042" s="131"/>
      <c r="AB1042" s="131"/>
      <c r="AC1042" s="131"/>
    </row>
    <row r="1043" spans="2:29" x14ac:dyDescent="0.2">
      <c r="B1043" s="151"/>
      <c r="C1043" s="152"/>
      <c r="H1043" s="340"/>
      <c r="L1043" s="131"/>
      <c r="M1043" s="131"/>
      <c r="N1043" s="131"/>
      <c r="O1043" s="131"/>
      <c r="P1043" s="131"/>
      <c r="Q1043" s="131"/>
      <c r="R1043" s="131"/>
      <c r="S1043" s="131"/>
      <c r="T1043" s="131"/>
      <c r="U1043" s="131"/>
      <c r="V1043" s="131"/>
      <c r="W1043" s="131"/>
      <c r="X1043" s="131"/>
      <c r="Y1043" s="131"/>
      <c r="Z1043" s="131"/>
      <c r="AA1043" s="131"/>
      <c r="AB1043" s="131"/>
      <c r="AC1043" s="131"/>
    </row>
    <row r="1044" spans="2:29" x14ac:dyDescent="0.2">
      <c r="B1044" s="151"/>
      <c r="C1044" s="152"/>
      <c r="H1044" s="340"/>
      <c r="L1044" s="131"/>
      <c r="M1044" s="131"/>
      <c r="N1044" s="131"/>
      <c r="O1044" s="131"/>
      <c r="P1044" s="131"/>
      <c r="Q1044" s="131"/>
      <c r="R1044" s="131"/>
      <c r="S1044" s="131"/>
      <c r="T1044" s="131"/>
      <c r="U1044" s="131"/>
      <c r="V1044" s="131"/>
      <c r="W1044" s="131"/>
      <c r="X1044" s="131"/>
      <c r="Y1044" s="131"/>
      <c r="Z1044" s="131"/>
      <c r="AA1044" s="131"/>
      <c r="AB1044" s="131"/>
      <c r="AC1044" s="131"/>
    </row>
    <row r="1045" spans="2:29" x14ac:dyDescent="0.2">
      <c r="B1045" s="151"/>
      <c r="C1045" s="152"/>
      <c r="H1045" s="340"/>
      <c r="L1045" s="131"/>
      <c r="M1045" s="131"/>
      <c r="N1045" s="131"/>
      <c r="O1045" s="131"/>
      <c r="P1045" s="131"/>
      <c r="Q1045" s="131"/>
      <c r="R1045" s="131"/>
      <c r="S1045" s="131"/>
      <c r="T1045" s="131"/>
      <c r="U1045" s="131"/>
      <c r="V1045" s="131"/>
      <c r="W1045" s="131"/>
      <c r="X1045" s="131"/>
      <c r="Y1045" s="131"/>
      <c r="Z1045" s="131"/>
      <c r="AA1045" s="131"/>
      <c r="AB1045" s="131"/>
      <c r="AC1045" s="131"/>
    </row>
    <row r="1046" spans="2:29" x14ac:dyDescent="0.2">
      <c r="B1046" s="151"/>
      <c r="C1046" s="152"/>
      <c r="H1046" s="340"/>
      <c r="L1046" s="131"/>
      <c r="M1046" s="131"/>
      <c r="N1046" s="131"/>
      <c r="O1046" s="131"/>
      <c r="P1046" s="131"/>
      <c r="Q1046" s="131"/>
      <c r="R1046" s="131"/>
      <c r="S1046" s="131"/>
      <c r="T1046" s="131"/>
      <c r="U1046" s="131"/>
      <c r="V1046" s="131"/>
      <c r="W1046" s="131"/>
      <c r="X1046" s="131"/>
      <c r="Y1046" s="131"/>
      <c r="Z1046" s="131"/>
      <c r="AA1046" s="131"/>
      <c r="AB1046" s="131"/>
      <c r="AC1046" s="131"/>
    </row>
    <row r="1047" spans="2:29" x14ac:dyDescent="0.2">
      <c r="B1047" s="151"/>
      <c r="C1047" s="152"/>
      <c r="H1047" s="340"/>
      <c r="L1047" s="131"/>
      <c r="M1047" s="131"/>
      <c r="N1047" s="131"/>
      <c r="O1047" s="131"/>
      <c r="P1047" s="131"/>
      <c r="Q1047" s="131"/>
      <c r="R1047" s="131"/>
      <c r="S1047" s="131"/>
      <c r="T1047" s="131"/>
      <c r="U1047" s="131"/>
      <c r="V1047" s="131"/>
      <c r="W1047" s="131"/>
      <c r="X1047" s="131"/>
      <c r="Y1047" s="131"/>
      <c r="Z1047" s="131"/>
      <c r="AA1047" s="131"/>
      <c r="AB1047" s="131"/>
      <c r="AC1047" s="131"/>
    </row>
    <row r="1048" spans="2:29" x14ac:dyDescent="0.2">
      <c r="B1048" s="151"/>
      <c r="C1048" s="152"/>
      <c r="H1048" s="340"/>
      <c r="L1048" s="131"/>
      <c r="M1048" s="131"/>
      <c r="N1048" s="131"/>
      <c r="O1048" s="131"/>
      <c r="P1048" s="131"/>
      <c r="Q1048" s="131"/>
      <c r="R1048" s="131"/>
      <c r="S1048" s="131"/>
      <c r="T1048" s="131"/>
      <c r="U1048" s="131"/>
      <c r="V1048" s="131"/>
      <c r="W1048" s="131"/>
      <c r="X1048" s="131"/>
      <c r="Y1048" s="131"/>
      <c r="Z1048" s="131"/>
      <c r="AA1048" s="131"/>
      <c r="AB1048" s="131"/>
      <c r="AC1048" s="131"/>
    </row>
    <row r="1049" spans="2:29" x14ac:dyDescent="0.2">
      <c r="B1049" s="151"/>
      <c r="C1049" s="152"/>
      <c r="H1049" s="340"/>
      <c r="L1049" s="131"/>
      <c r="M1049" s="131"/>
      <c r="N1049" s="131"/>
      <c r="O1049" s="131"/>
      <c r="P1049" s="131"/>
      <c r="Q1049" s="131"/>
      <c r="R1049" s="131"/>
      <c r="S1049" s="131"/>
      <c r="T1049" s="131"/>
      <c r="U1049" s="131"/>
      <c r="V1049" s="131"/>
      <c r="W1049" s="131"/>
      <c r="X1049" s="131"/>
      <c r="Y1049" s="131"/>
      <c r="Z1049" s="131"/>
      <c r="AA1049" s="131"/>
      <c r="AB1049" s="131"/>
      <c r="AC1049" s="131"/>
    </row>
    <row r="1050" spans="2:29" x14ac:dyDescent="0.2">
      <c r="B1050" s="151"/>
      <c r="C1050" s="152"/>
      <c r="H1050" s="340"/>
      <c r="L1050" s="131"/>
      <c r="M1050" s="131"/>
      <c r="N1050" s="131"/>
      <c r="O1050" s="131"/>
      <c r="P1050" s="131"/>
      <c r="Q1050" s="131"/>
      <c r="R1050" s="131"/>
      <c r="S1050" s="131"/>
      <c r="T1050" s="131"/>
      <c r="U1050" s="131"/>
      <c r="V1050" s="131"/>
      <c r="W1050" s="131"/>
      <c r="X1050" s="131"/>
      <c r="Y1050" s="131"/>
      <c r="Z1050" s="131"/>
      <c r="AA1050" s="131"/>
      <c r="AB1050" s="131"/>
      <c r="AC1050" s="131"/>
    </row>
    <row r="1051" spans="2:29" x14ac:dyDescent="0.2">
      <c r="B1051" s="151"/>
      <c r="C1051" s="152"/>
      <c r="H1051" s="340"/>
      <c r="L1051" s="131"/>
      <c r="M1051" s="131"/>
      <c r="N1051" s="131"/>
      <c r="O1051" s="131"/>
      <c r="P1051" s="131"/>
      <c r="Q1051" s="131"/>
      <c r="R1051" s="131"/>
      <c r="S1051" s="131"/>
      <c r="T1051" s="131"/>
      <c r="U1051" s="131"/>
      <c r="V1051" s="131"/>
      <c r="W1051" s="131"/>
      <c r="X1051" s="131"/>
      <c r="Y1051" s="131"/>
      <c r="Z1051" s="131"/>
      <c r="AA1051" s="131"/>
      <c r="AB1051" s="131"/>
      <c r="AC1051" s="131"/>
    </row>
    <row r="1052" spans="2:29" x14ac:dyDescent="0.2">
      <c r="B1052" s="151"/>
      <c r="C1052" s="152"/>
      <c r="H1052" s="340"/>
      <c r="L1052" s="131"/>
      <c r="M1052" s="131"/>
      <c r="N1052" s="131"/>
      <c r="O1052" s="131"/>
      <c r="P1052" s="131"/>
      <c r="Q1052" s="131"/>
      <c r="R1052" s="131"/>
      <c r="S1052" s="131"/>
      <c r="T1052" s="131"/>
      <c r="U1052" s="131"/>
      <c r="V1052" s="131"/>
      <c r="W1052" s="131"/>
      <c r="X1052" s="131"/>
      <c r="Y1052" s="131"/>
      <c r="Z1052" s="131"/>
      <c r="AA1052" s="131"/>
      <c r="AB1052" s="131"/>
      <c r="AC1052" s="131"/>
    </row>
    <row r="1053" spans="2:29" x14ac:dyDescent="0.2">
      <c r="B1053" s="151"/>
      <c r="C1053" s="152"/>
      <c r="H1053" s="340"/>
      <c r="L1053" s="131"/>
      <c r="M1053" s="131"/>
      <c r="N1053" s="131"/>
      <c r="O1053" s="131"/>
      <c r="P1053" s="131"/>
      <c r="Q1053" s="131"/>
      <c r="R1053" s="131"/>
      <c r="S1053" s="131"/>
      <c r="T1053" s="131"/>
      <c r="U1053" s="131"/>
      <c r="V1053" s="131"/>
      <c r="W1053" s="131"/>
      <c r="X1053" s="131"/>
      <c r="Y1053" s="131"/>
      <c r="Z1053" s="131"/>
      <c r="AA1053" s="131"/>
      <c r="AB1053" s="131"/>
      <c r="AC1053" s="131"/>
    </row>
    <row r="1054" spans="2:29" x14ac:dyDescent="0.2">
      <c r="B1054" s="151"/>
      <c r="C1054" s="152"/>
      <c r="H1054" s="340"/>
      <c r="L1054" s="131"/>
      <c r="M1054" s="131"/>
      <c r="N1054" s="131"/>
      <c r="O1054" s="131"/>
      <c r="P1054" s="131"/>
      <c r="Q1054" s="131"/>
      <c r="R1054" s="131"/>
      <c r="S1054" s="131"/>
      <c r="T1054" s="131"/>
      <c r="U1054" s="131"/>
      <c r="V1054" s="131"/>
      <c r="W1054" s="131"/>
      <c r="X1054" s="131"/>
      <c r="Y1054" s="131"/>
      <c r="Z1054" s="131"/>
      <c r="AA1054" s="131"/>
      <c r="AB1054" s="131"/>
      <c r="AC1054" s="131"/>
    </row>
    <row r="1055" spans="2:29" x14ac:dyDescent="0.2">
      <c r="B1055" s="151"/>
      <c r="C1055" s="152"/>
      <c r="H1055" s="340"/>
      <c r="L1055" s="131"/>
      <c r="M1055" s="131"/>
      <c r="N1055" s="131"/>
      <c r="O1055" s="131"/>
      <c r="P1055" s="131"/>
      <c r="Q1055" s="131"/>
      <c r="R1055" s="131"/>
      <c r="S1055" s="131"/>
      <c r="T1055" s="131"/>
      <c r="U1055" s="131"/>
      <c r="V1055" s="131"/>
      <c r="W1055" s="131"/>
      <c r="X1055" s="131"/>
      <c r="Y1055" s="131"/>
      <c r="Z1055" s="131"/>
      <c r="AA1055" s="131"/>
      <c r="AB1055" s="131"/>
      <c r="AC1055" s="131"/>
    </row>
    <row r="1056" spans="2:29" x14ac:dyDescent="0.2">
      <c r="B1056" s="151"/>
      <c r="C1056" s="152"/>
      <c r="H1056" s="340"/>
      <c r="L1056" s="131"/>
      <c r="M1056" s="131"/>
      <c r="N1056" s="131"/>
      <c r="O1056" s="131"/>
      <c r="P1056" s="131"/>
      <c r="Q1056" s="131"/>
      <c r="R1056" s="131"/>
      <c r="S1056" s="131"/>
      <c r="T1056" s="131"/>
      <c r="U1056" s="131"/>
      <c r="V1056" s="131"/>
      <c r="W1056" s="131"/>
      <c r="X1056" s="131"/>
      <c r="Y1056" s="131"/>
      <c r="Z1056" s="131"/>
      <c r="AA1056" s="131"/>
      <c r="AB1056" s="131"/>
      <c r="AC1056" s="131"/>
    </row>
    <row r="1057" spans="2:29" x14ac:dyDescent="0.2">
      <c r="B1057" s="151"/>
      <c r="C1057" s="152"/>
      <c r="H1057" s="340"/>
      <c r="L1057" s="131"/>
      <c r="M1057" s="131"/>
      <c r="N1057" s="131"/>
      <c r="O1057" s="131"/>
      <c r="P1057" s="131"/>
      <c r="Q1057" s="131"/>
      <c r="R1057" s="131"/>
      <c r="S1057" s="131"/>
      <c r="T1057" s="131"/>
      <c r="U1057" s="131"/>
      <c r="V1057" s="131"/>
      <c r="W1057" s="131"/>
      <c r="X1057" s="131"/>
      <c r="Y1057" s="131"/>
      <c r="Z1057" s="131"/>
      <c r="AA1057" s="131"/>
      <c r="AB1057" s="131"/>
      <c r="AC1057" s="131"/>
    </row>
    <row r="1058" spans="2:29" x14ac:dyDescent="0.2">
      <c r="B1058" s="151"/>
      <c r="C1058" s="152"/>
      <c r="H1058" s="340"/>
      <c r="L1058" s="131"/>
      <c r="M1058" s="131"/>
      <c r="N1058" s="131"/>
      <c r="O1058" s="131"/>
      <c r="P1058" s="131"/>
      <c r="Q1058" s="131"/>
      <c r="R1058" s="131"/>
      <c r="S1058" s="131"/>
      <c r="T1058" s="131"/>
      <c r="U1058" s="131"/>
      <c r="V1058" s="131"/>
      <c r="W1058" s="131"/>
      <c r="X1058" s="131"/>
      <c r="Y1058" s="131"/>
      <c r="Z1058" s="131"/>
      <c r="AA1058" s="131"/>
      <c r="AB1058" s="131"/>
      <c r="AC1058" s="131"/>
    </row>
    <row r="1059" spans="2:29" x14ac:dyDescent="0.2">
      <c r="B1059" s="151"/>
      <c r="C1059" s="152"/>
      <c r="H1059" s="340"/>
      <c r="L1059" s="131"/>
      <c r="M1059" s="131"/>
      <c r="N1059" s="131"/>
      <c r="O1059" s="131"/>
      <c r="P1059" s="131"/>
      <c r="Q1059" s="131"/>
      <c r="R1059" s="131"/>
      <c r="S1059" s="131"/>
      <c r="T1059" s="131"/>
      <c r="U1059" s="131"/>
      <c r="V1059" s="131"/>
      <c r="W1059" s="131"/>
      <c r="X1059" s="131"/>
      <c r="Y1059" s="131"/>
      <c r="Z1059" s="131"/>
      <c r="AA1059" s="131"/>
      <c r="AB1059" s="131"/>
      <c r="AC1059" s="131"/>
    </row>
    <row r="1060" spans="2:29" x14ac:dyDescent="0.2">
      <c r="B1060" s="151"/>
      <c r="C1060" s="152"/>
      <c r="H1060" s="340"/>
      <c r="L1060" s="131"/>
      <c r="M1060" s="131"/>
      <c r="N1060" s="131"/>
      <c r="O1060" s="131"/>
      <c r="P1060" s="131"/>
      <c r="Q1060" s="131"/>
      <c r="R1060" s="131"/>
      <c r="S1060" s="131"/>
      <c r="T1060" s="131"/>
      <c r="U1060" s="131"/>
      <c r="V1060" s="131"/>
      <c r="W1060" s="131"/>
      <c r="X1060" s="131"/>
      <c r="Y1060" s="131"/>
      <c r="Z1060" s="131"/>
      <c r="AA1060" s="131"/>
      <c r="AB1060" s="131"/>
      <c r="AC1060" s="131"/>
    </row>
    <row r="1061" spans="2:29" x14ac:dyDescent="0.2">
      <c r="B1061" s="151"/>
      <c r="C1061" s="152"/>
      <c r="H1061" s="340"/>
      <c r="L1061" s="131"/>
      <c r="M1061" s="131"/>
      <c r="N1061" s="131"/>
      <c r="O1061" s="131"/>
      <c r="P1061" s="131"/>
      <c r="Q1061" s="131"/>
      <c r="R1061" s="131"/>
      <c r="S1061" s="131"/>
      <c r="T1061" s="131"/>
      <c r="U1061" s="131"/>
      <c r="V1061" s="131"/>
      <c r="W1061" s="131"/>
      <c r="X1061" s="131"/>
      <c r="Y1061" s="131"/>
      <c r="Z1061" s="131"/>
      <c r="AA1061" s="131"/>
      <c r="AB1061" s="131"/>
      <c r="AC1061" s="131"/>
    </row>
    <row r="1062" spans="2:29" x14ac:dyDescent="0.2">
      <c r="B1062" s="151"/>
      <c r="C1062" s="152"/>
      <c r="H1062" s="340"/>
      <c r="L1062" s="131"/>
      <c r="M1062" s="131"/>
      <c r="N1062" s="131"/>
      <c r="O1062" s="131"/>
      <c r="P1062" s="131"/>
      <c r="Q1062" s="131"/>
      <c r="R1062" s="131"/>
      <c r="S1062" s="131"/>
      <c r="T1062" s="131"/>
      <c r="U1062" s="131"/>
      <c r="V1062" s="131"/>
      <c r="W1062" s="131"/>
      <c r="X1062" s="131"/>
      <c r="Y1062" s="131"/>
      <c r="Z1062" s="131"/>
      <c r="AA1062" s="131"/>
      <c r="AB1062" s="131"/>
      <c r="AC1062" s="131"/>
    </row>
    <row r="1063" spans="2:29" x14ac:dyDescent="0.2">
      <c r="B1063" s="151"/>
      <c r="C1063" s="152"/>
      <c r="H1063" s="340"/>
      <c r="L1063" s="131"/>
      <c r="M1063" s="131"/>
      <c r="N1063" s="131"/>
      <c r="O1063" s="131"/>
      <c r="P1063" s="131"/>
      <c r="Q1063" s="131"/>
      <c r="R1063" s="131"/>
      <c r="S1063" s="131"/>
      <c r="T1063" s="131"/>
      <c r="U1063" s="131"/>
      <c r="V1063" s="131"/>
      <c r="W1063" s="131"/>
      <c r="X1063" s="131"/>
      <c r="Y1063" s="131"/>
      <c r="Z1063" s="131"/>
      <c r="AA1063" s="131"/>
      <c r="AB1063" s="131"/>
      <c r="AC1063" s="131"/>
    </row>
    <row r="1064" spans="2:29" x14ac:dyDescent="0.2">
      <c r="B1064" s="151"/>
      <c r="C1064" s="152"/>
      <c r="H1064" s="340"/>
      <c r="L1064" s="131"/>
      <c r="M1064" s="131"/>
      <c r="N1064" s="131"/>
      <c r="O1064" s="131"/>
      <c r="P1064" s="131"/>
      <c r="Q1064" s="131"/>
      <c r="R1064" s="131"/>
      <c r="S1064" s="131"/>
      <c r="T1064" s="131"/>
      <c r="U1064" s="131"/>
      <c r="V1064" s="131"/>
      <c r="W1064" s="131"/>
      <c r="X1064" s="131"/>
      <c r="Y1064" s="131"/>
      <c r="Z1064" s="131"/>
      <c r="AA1064" s="131"/>
      <c r="AB1064" s="131"/>
      <c r="AC1064" s="131"/>
    </row>
    <row r="1065" spans="2:29" x14ac:dyDescent="0.2">
      <c r="B1065" s="151"/>
      <c r="C1065" s="152"/>
      <c r="H1065" s="340"/>
      <c r="L1065" s="131"/>
      <c r="M1065" s="131"/>
      <c r="N1065" s="131"/>
      <c r="O1065" s="131"/>
      <c r="P1065" s="131"/>
      <c r="Q1065" s="131"/>
      <c r="R1065" s="131"/>
      <c r="S1065" s="131"/>
      <c r="T1065" s="131"/>
      <c r="U1065" s="131"/>
      <c r="V1065" s="131"/>
      <c r="W1065" s="131"/>
      <c r="X1065" s="131"/>
      <c r="Y1065" s="131"/>
      <c r="Z1065" s="131"/>
      <c r="AA1065" s="131"/>
      <c r="AB1065" s="131"/>
      <c r="AC1065" s="131"/>
    </row>
    <row r="1066" spans="2:29" x14ac:dyDescent="0.2">
      <c r="B1066" s="151"/>
      <c r="C1066" s="152"/>
      <c r="H1066" s="340"/>
      <c r="L1066" s="131"/>
      <c r="M1066" s="131"/>
      <c r="N1066" s="131"/>
      <c r="O1066" s="131"/>
      <c r="P1066" s="131"/>
      <c r="Q1066" s="131"/>
      <c r="R1066" s="131"/>
      <c r="S1066" s="131"/>
      <c r="T1066" s="131"/>
      <c r="U1066" s="131"/>
      <c r="V1066" s="131"/>
      <c r="W1066" s="131"/>
      <c r="X1066" s="131"/>
      <c r="Y1066" s="131"/>
      <c r="Z1066" s="131"/>
      <c r="AA1066" s="131"/>
      <c r="AB1066" s="131"/>
      <c r="AC1066" s="131"/>
    </row>
    <row r="1067" spans="2:29" x14ac:dyDescent="0.2">
      <c r="B1067" s="151"/>
      <c r="C1067" s="152"/>
      <c r="H1067" s="340"/>
      <c r="L1067" s="131"/>
      <c r="M1067" s="131"/>
      <c r="N1067" s="131"/>
      <c r="O1067" s="131"/>
      <c r="P1067" s="131"/>
      <c r="Q1067" s="131"/>
      <c r="R1067" s="131"/>
      <c r="S1067" s="131"/>
      <c r="T1067" s="131"/>
      <c r="U1067" s="131"/>
      <c r="V1067" s="131"/>
      <c r="W1067" s="131"/>
      <c r="X1067" s="131"/>
      <c r="Y1067" s="131"/>
      <c r="Z1067" s="131"/>
      <c r="AA1067" s="131"/>
      <c r="AB1067" s="131"/>
      <c r="AC1067" s="131"/>
    </row>
    <row r="1068" spans="2:29" x14ac:dyDescent="0.2">
      <c r="B1068" s="151"/>
      <c r="C1068" s="152"/>
      <c r="H1068" s="340"/>
      <c r="L1068" s="131"/>
      <c r="M1068" s="131"/>
      <c r="N1068" s="131"/>
      <c r="O1068" s="131"/>
      <c r="P1068" s="131"/>
      <c r="Q1068" s="131"/>
      <c r="R1068" s="131"/>
      <c r="S1068" s="131"/>
      <c r="T1068" s="131"/>
      <c r="U1068" s="131"/>
      <c r="V1068" s="131"/>
      <c r="W1068" s="131"/>
      <c r="X1068" s="131"/>
      <c r="Y1068" s="131"/>
      <c r="Z1068" s="131"/>
      <c r="AA1068" s="131"/>
      <c r="AB1068" s="131"/>
      <c r="AC1068" s="131"/>
    </row>
    <row r="1069" spans="2:29" x14ac:dyDescent="0.2">
      <c r="B1069" s="151"/>
      <c r="C1069" s="152"/>
      <c r="H1069" s="340"/>
      <c r="L1069" s="131"/>
      <c r="M1069" s="131"/>
      <c r="N1069" s="131"/>
      <c r="O1069" s="131"/>
      <c r="P1069" s="131"/>
      <c r="Q1069" s="131"/>
      <c r="R1069" s="131"/>
      <c r="S1069" s="131"/>
      <c r="T1069" s="131"/>
      <c r="U1069" s="131"/>
      <c r="V1069" s="131"/>
      <c r="W1069" s="131"/>
      <c r="X1069" s="131"/>
      <c r="Y1069" s="131"/>
      <c r="Z1069" s="131"/>
      <c r="AA1069" s="131"/>
      <c r="AB1069" s="131"/>
      <c r="AC1069" s="131"/>
    </row>
    <row r="1070" spans="2:29" x14ac:dyDescent="0.2">
      <c r="B1070" s="151"/>
      <c r="C1070" s="152"/>
      <c r="H1070" s="340"/>
      <c r="L1070" s="131"/>
      <c r="M1070" s="131"/>
      <c r="N1070" s="131"/>
      <c r="O1070" s="131"/>
      <c r="P1070" s="131"/>
      <c r="Q1070" s="131"/>
      <c r="R1070" s="131"/>
      <c r="S1070" s="131"/>
      <c r="T1070" s="131"/>
      <c r="U1070" s="131"/>
      <c r="V1070" s="131"/>
      <c r="W1070" s="131"/>
      <c r="X1070" s="131"/>
      <c r="Y1070" s="131"/>
      <c r="Z1070" s="131"/>
      <c r="AA1070" s="131"/>
      <c r="AB1070" s="131"/>
      <c r="AC1070" s="131"/>
    </row>
    <row r="1071" spans="2:29" x14ac:dyDescent="0.2">
      <c r="B1071" s="151"/>
      <c r="C1071" s="152"/>
      <c r="H1071" s="340"/>
      <c r="L1071" s="131"/>
      <c r="M1071" s="131"/>
      <c r="N1071" s="131"/>
      <c r="O1071" s="131"/>
      <c r="P1071" s="131"/>
      <c r="Q1071" s="131"/>
      <c r="R1071" s="131"/>
      <c r="S1071" s="131"/>
      <c r="T1071" s="131"/>
      <c r="U1071" s="131"/>
      <c r="V1071" s="131"/>
      <c r="W1071" s="131"/>
      <c r="X1071" s="131"/>
      <c r="Y1071" s="131"/>
      <c r="Z1071" s="131"/>
      <c r="AA1071" s="131"/>
      <c r="AB1071" s="131"/>
      <c r="AC1071" s="131"/>
    </row>
    <row r="1072" spans="2:29" x14ac:dyDescent="0.2">
      <c r="B1072" s="151"/>
      <c r="C1072" s="152"/>
      <c r="H1072" s="340"/>
      <c r="L1072" s="131"/>
      <c r="M1072" s="131"/>
      <c r="N1072" s="131"/>
      <c r="O1072" s="131"/>
      <c r="P1072" s="131"/>
      <c r="Q1072" s="131"/>
      <c r="R1072" s="131"/>
      <c r="S1072" s="131"/>
      <c r="T1072" s="131"/>
      <c r="U1072" s="131"/>
      <c r="V1072" s="131"/>
      <c r="W1072" s="131"/>
      <c r="X1072" s="131"/>
      <c r="Y1072" s="131"/>
      <c r="Z1072" s="131"/>
      <c r="AA1072" s="131"/>
      <c r="AB1072" s="131"/>
      <c r="AC1072" s="131"/>
    </row>
    <row r="1073" spans="2:29" x14ac:dyDescent="0.2">
      <c r="B1073" s="151"/>
      <c r="C1073" s="152"/>
      <c r="H1073" s="340"/>
      <c r="L1073" s="131"/>
      <c r="M1073" s="131"/>
      <c r="N1073" s="131"/>
      <c r="O1073" s="131"/>
      <c r="P1073" s="131"/>
      <c r="Q1073" s="131"/>
      <c r="R1073" s="131"/>
      <c r="S1073" s="131"/>
      <c r="T1073" s="131"/>
      <c r="U1073" s="131"/>
      <c r="V1073" s="131"/>
      <c r="W1073" s="131"/>
      <c r="X1073" s="131"/>
      <c r="Y1073" s="131"/>
      <c r="Z1073" s="131"/>
      <c r="AA1073" s="131"/>
      <c r="AB1073" s="131"/>
      <c r="AC1073" s="131"/>
    </row>
    <row r="1074" spans="2:29" x14ac:dyDescent="0.2">
      <c r="B1074" s="151"/>
      <c r="C1074" s="152"/>
      <c r="H1074" s="340"/>
      <c r="L1074" s="131"/>
      <c r="M1074" s="131"/>
      <c r="N1074" s="131"/>
      <c r="O1074" s="131"/>
      <c r="P1074" s="131"/>
      <c r="Q1074" s="131"/>
      <c r="R1074" s="131"/>
      <c r="S1074" s="131"/>
      <c r="T1074" s="131"/>
      <c r="U1074" s="131"/>
      <c r="V1074" s="131"/>
      <c r="W1074" s="131"/>
      <c r="X1074" s="131"/>
      <c r="Y1074" s="131"/>
      <c r="Z1074" s="131"/>
      <c r="AA1074" s="131"/>
      <c r="AB1074" s="131"/>
      <c r="AC1074" s="131"/>
    </row>
    <row r="1075" spans="2:29" x14ac:dyDescent="0.2">
      <c r="B1075" s="151"/>
      <c r="C1075" s="152"/>
      <c r="H1075" s="340"/>
      <c r="L1075" s="131"/>
      <c r="M1075" s="131"/>
      <c r="N1075" s="131"/>
      <c r="O1075" s="131"/>
      <c r="P1075" s="131"/>
      <c r="Q1075" s="131"/>
      <c r="R1075" s="131"/>
      <c r="S1075" s="131"/>
      <c r="T1075" s="131"/>
      <c r="U1075" s="131"/>
      <c r="V1075" s="131"/>
      <c r="W1075" s="131"/>
      <c r="X1075" s="131"/>
      <c r="Y1075" s="131"/>
      <c r="Z1075" s="131"/>
      <c r="AA1075" s="131"/>
      <c r="AB1075" s="131"/>
      <c r="AC1075" s="131"/>
    </row>
    <row r="1076" spans="2:29" x14ac:dyDescent="0.2">
      <c r="B1076" s="151"/>
      <c r="C1076" s="152"/>
      <c r="H1076" s="340"/>
      <c r="L1076" s="131"/>
      <c r="M1076" s="131"/>
      <c r="N1076" s="131"/>
      <c r="O1076" s="131"/>
      <c r="P1076" s="131"/>
      <c r="Q1076" s="131"/>
      <c r="R1076" s="131"/>
      <c r="S1076" s="131"/>
      <c r="T1076" s="131"/>
      <c r="U1076" s="131"/>
      <c r="V1076" s="131"/>
      <c r="W1076" s="131"/>
      <c r="X1076" s="131"/>
      <c r="Y1076" s="131"/>
      <c r="Z1076" s="131"/>
      <c r="AA1076" s="131"/>
      <c r="AB1076" s="131"/>
      <c r="AC1076" s="131"/>
    </row>
    <row r="1077" spans="2:29" x14ac:dyDescent="0.2">
      <c r="B1077" s="151"/>
      <c r="C1077" s="152"/>
      <c r="H1077" s="340"/>
      <c r="L1077" s="131"/>
      <c r="M1077" s="131"/>
      <c r="N1077" s="131"/>
      <c r="O1077" s="131"/>
      <c r="P1077" s="131"/>
      <c r="Q1077" s="131"/>
      <c r="R1077" s="131"/>
      <c r="S1077" s="131"/>
      <c r="T1077" s="131"/>
      <c r="U1077" s="131"/>
      <c r="V1077" s="131"/>
      <c r="W1077" s="131"/>
      <c r="X1077" s="131"/>
      <c r="Y1077" s="131"/>
      <c r="Z1077" s="131"/>
      <c r="AA1077" s="131"/>
      <c r="AB1077" s="131"/>
      <c r="AC1077" s="131"/>
    </row>
    <row r="1078" spans="2:29" x14ac:dyDescent="0.2">
      <c r="B1078" s="151"/>
      <c r="C1078" s="152"/>
      <c r="H1078" s="340"/>
      <c r="L1078" s="131"/>
      <c r="M1078" s="131"/>
      <c r="N1078" s="131"/>
      <c r="O1078" s="131"/>
      <c r="P1078" s="131"/>
      <c r="Q1078" s="131"/>
      <c r="R1078" s="131"/>
      <c r="S1078" s="131"/>
      <c r="T1078" s="131"/>
      <c r="U1078" s="131"/>
      <c r="V1078" s="131"/>
      <c r="W1078" s="131"/>
      <c r="X1078" s="131"/>
      <c r="Y1078" s="131"/>
      <c r="Z1078" s="131"/>
      <c r="AA1078" s="131"/>
      <c r="AB1078" s="131"/>
      <c r="AC1078" s="131"/>
    </row>
    <row r="1079" spans="2:29" x14ac:dyDescent="0.2">
      <c r="B1079" s="151"/>
      <c r="C1079" s="152"/>
      <c r="H1079" s="340"/>
      <c r="L1079" s="131"/>
      <c r="M1079" s="131"/>
      <c r="N1079" s="131"/>
      <c r="O1079" s="131"/>
      <c r="P1079" s="131"/>
      <c r="Q1079" s="131"/>
      <c r="R1079" s="131"/>
      <c r="S1079" s="131"/>
      <c r="T1079" s="131"/>
      <c r="U1079" s="131"/>
      <c r="V1079" s="131"/>
      <c r="W1079" s="131"/>
      <c r="X1079" s="131"/>
      <c r="Y1079" s="131"/>
      <c r="Z1079" s="131"/>
      <c r="AA1079" s="131"/>
      <c r="AB1079" s="131"/>
      <c r="AC1079" s="131"/>
    </row>
    <row r="1080" spans="2:29" x14ac:dyDescent="0.2">
      <c r="B1080" s="151"/>
      <c r="C1080" s="152"/>
      <c r="H1080" s="340"/>
      <c r="L1080" s="131"/>
      <c r="M1080" s="131"/>
      <c r="N1080" s="131"/>
      <c r="O1080" s="131"/>
      <c r="P1080" s="131"/>
      <c r="Q1080" s="131"/>
      <c r="R1080" s="131"/>
      <c r="S1080" s="131"/>
      <c r="T1080" s="131"/>
      <c r="U1080" s="131"/>
      <c r="V1080" s="131"/>
      <c r="W1080" s="131"/>
      <c r="X1080" s="131"/>
      <c r="Y1080" s="131"/>
      <c r="Z1080" s="131"/>
      <c r="AA1080" s="131"/>
      <c r="AB1080" s="131"/>
      <c r="AC1080" s="131"/>
    </row>
    <row r="1081" spans="2:29" x14ac:dyDescent="0.2">
      <c r="B1081" s="151"/>
      <c r="C1081" s="152"/>
      <c r="H1081" s="340"/>
      <c r="L1081" s="131"/>
      <c r="M1081" s="131"/>
      <c r="N1081" s="131"/>
      <c r="O1081" s="131"/>
      <c r="P1081" s="131"/>
      <c r="Q1081" s="131"/>
      <c r="R1081" s="131"/>
      <c r="S1081" s="131"/>
      <c r="T1081" s="131"/>
      <c r="U1081" s="131"/>
      <c r="V1081" s="131"/>
      <c r="W1081" s="131"/>
      <c r="X1081" s="131"/>
      <c r="Y1081" s="131"/>
      <c r="Z1081" s="131"/>
      <c r="AA1081" s="131"/>
      <c r="AB1081" s="131"/>
      <c r="AC1081" s="131"/>
    </row>
    <row r="1082" spans="2:29" x14ac:dyDescent="0.2">
      <c r="B1082" s="151"/>
      <c r="C1082" s="152"/>
      <c r="H1082" s="340"/>
      <c r="L1082" s="131"/>
      <c r="M1082" s="131"/>
      <c r="N1082" s="131"/>
      <c r="O1082" s="131"/>
      <c r="P1082" s="131"/>
      <c r="Q1082" s="131"/>
      <c r="R1082" s="131"/>
      <c r="S1082" s="131"/>
      <c r="T1082" s="131"/>
      <c r="U1082" s="131"/>
      <c r="V1082" s="131"/>
      <c r="W1082" s="131"/>
      <c r="X1082" s="131"/>
      <c r="Y1082" s="131"/>
      <c r="Z1082" s="131"/>
      <c r="AA1082" s="131"/>
      <c r="AB1082" s="131"/>
      <c r="AC1082" s="131"/>
    </row>
    <row r="1083" spans="2:29" x14ac:dyDescent="0.2">
      <c r="B1083" s="151"/>
      <c r="C1083" s="152"/>
      <c r="H1083" s="340"/>
      <c r="L1083" s="131"/>
      <c r="M1083" s="131"/>
      <c r="N1083" s="131"/>
      <c r="O1083" s="131"/>
      <c r="P1083" s="131"/>
      <c r="Q1083" s="131"/>
      <c r="R1083" s="131"/>
      <c r="S1083" s="131"/>
      <c r="T1083" s="131"/>
      <c r="U1083" s="131"/>
      <c r="V1083" s="131"/>
      <c r="W1083" s="131"/>
      <c r="X1083" s="131"/>
      <c r="Y1083" s="131"/>
      <c r="Z1083" s="131"/>
      <c r="AA1083" s="131"/>
      <c r="AB1083" s="131"/>
      <c r="AC1083" s="131"/>
    </row>
    <row r="1084" spans="2:29" x14ac:dyDescent="0.2">
      <c r="B1084" s="151"/>
      <c r="C1084" s="152"/>
      <c r="H1084" s="340"/>
      <c r="L1084" s="131"/>
      <c r="M1084" s="131"/>
      <c r="N1084" s="131"/>
      <c r="O1084" s="131"/>
      <c r="P1084" s="131"/>
      <c r="Q1084" s="131"/>
      <c r="R1084" s="131"/>
      <c r="S1084" s="131"/>
      <c r="T1084" s="131"/>
      <c r="U1084" s="131"/>
      <c r="V1084" s="131"/>
      <c r="W1084" s="131"/>
      <c r="X1084" s="131"/>
      <c r="Y1084" s="131"/>
      <c r="Z1084" s="131"/>
      <c r="AA1084" s="131"/>
      <c r="AB1084" s="131"/>
      <c r="AC1084" s="131"/>
    </row>
    <row r="1085" spans="2:29" x14ac:dyDescent="0.2">
      <c r="B1085" s="151"/>
      <c r="C1085" s="152"/>
      <c r="H1085" s="340"/>
      <c r="L1085" s="131"/>
      <c r="M1085" s="131"/>
      <c r="N1085" s="131"/>
      <c r="O1085" s="131"/>
      <c r="P1085" s="131"/>
      <c r="Q1085" s="131"/>
      <c r="R1085" s="131"/>
      <c r="S1085" s="131"/>
      <c r="T1085" s="131"/>
      <c r="U1085" s="131"/>
      <c r="V1085" s="131"/>
      <c r="W1085" s="131"/>
      <c r="X1085" s="131"/>
      <c r="Y1085" s="131"/>
      <c r="Z1085" s="131"/>
      <c r="AA1085" s="131"/>
      <c r="AB1085" s="131"/>
      <c r="AC1085" s="131"/>
    </row>
    <row r="1086" spans="2:29" x14ac:dyDescent="0.2">
      <c r="B1086" s="151"/>
      <c r="C1086" s="152"/>
      <c r="H1086" s="340"/>
      <c r="L1086" s="131"/>
      <c r="M1086" s="131"/>
      <c r="N1086" s="131"/>
      <c r="O1086" s="131"/>
      <c r="P1086" s="131"/>
      <c r="Q1086" s="131"/>
      <c r="R1086" s="131"/>
      <c r="S1086" s="131"/>
      <c r="T1086" s="131"/>
      <c r="U1086" s="131"/>
      <c r="V1086" s="131"/>
      <c r="W1086" s="131"/>
      <c r="X1086" s="131"/>
      <c r="Y1086" s="131"/>
      <c r="Z1086" s="131"/>
      <c r="AA1086" s="131"/>
      <c r="AB1086" s="131"/>
      <c r="AC1086" s="131"/>
    </row>
    <row r="1087" spans="2:29" x14ac:dyDescent="0.2">
      <c r="B1087" s="151"/>
      <c r="C1087" s="152"/>
      <c r="H1087" s="340"/>
      <c r="L1087" s="131"/>
      <c r="M1087" s="131"/>
      <c r="N1087" s="131"/>
      <c r="O1087" s="131"/>
      <c r="P1087" s="131"/>
      <c r="Q1087" s="131"/>
      <c r="R1087" s="131"/>
      <c r="S1087" s="131"/>
      <c r="T1087" s="131"/>
      <c r="U1087" s="131"/>
      <c r="V1087" s="131"/>
      <c r="W1087" s="131"/>
      <c r="X1087" s="131"/>
      <c r="Y1087" s="131"/>
      <c r="Z1087" s="131"/>
      <c r="AA1087" s="131"/>
      <c r="AB1087" s="131"/>
      <c r="AC1087" s="131"/>
    </row>
    <row r="1088" spans="2:29" x14ac:dyDescent="0.2">
      <c r="B1088" s="151"/>
      <c r="C1088" s="152"/>
      <c r="H1088" s="340"/>
      <c r="L1088" s="131"/>
      <c r="M1088" s="131"/>
      <c r="N1088" s="131"/>
      <c r="O1088" s="131"/>
      <c r="P1088" s="131"/>
      <c r="Q1088" s="131"/>
      <c r="R1088" s="131"/>
      <c r="S1088" s="131"/>
      <c r="T1088" s="131"/>
      <c r="U1088" s="131"/>
      <c r="V1088" s="131"/>
      <c r="W1088" s="131"/>
      <c r="X1088" s="131"/>
      <c r="Y1088" s="131"/>
      <c r="Z1088" s="131"/>
      <c r="AA1088" s="131"/>
      <c r="AB1088" s="131"/>
      <c r="AC1088" s="131"/>
    </row>
    <row r="1089" spans="2:29" x14ac:dyDescent="0.2">
      <c r="B1089" s="151"/>
      <c r="C1089" s="152"/>
      <c r="H1089" s="340"/>
      <c r="L1089" s="131"/>
      <c r="M1089" s="131"/>
      <c r="N1089" s="131"/>
      <c r="O1089" s="131"/>
      <c r="P1089" s="131"/>
      <c r="Q1089" s="131"/>
      <c r="R1089" s="131"/>
      <c r="S1089" s="131"/>
      <c r="T1089" s="131"/>
      <c r="U1089" s="131"/>
      <c r="V1089" s="131"/>
      <c r="W1089" s="131"/>
      <c r="X1089" s="131"/>
      <c r="Y1089" s="131"/>
      <c r="Z1089" s="131"/>
      <c r="AA1089" s="131"/>
      <c r="AB1089" s="131"/>
      <c r="AC1089" s="131"/>
    </row>
    <row r="1090" spans="2:29" x14ac:dyDescent="0.2">
      <c r="B1090" s="151"/>
      <c r="C1090" s="152"/>
      <c r="H1090" s="340"/>
      <c r="L1090" s="131"/>
      <c r="M1090" s="131"/>
      <c r="N1090" s="131"/>
      <c r="O1090" s="131"/>
      <c r="P1090" s="131"/>
      <c r="Q1090" s="131"/>
      <c r="R1090" s="131"/>
      <c r="S1090" s="131"/>
      <c r="T1090" s="131"/>
      <c r="U1090" s="131"/>
      <c r="V1090" s="131"/>
      <c r="W1090" s="131"/>
      <c r="X1090" s="131"/>
      <c r="Y1090" s="131"/>
      <c r="Z1090" s="131"/>
      <c r="AA1090" s="131"/>
      <c r="AB1090" s="131"/>
      <c r="AC1090" s="131"/>
    </row>
    <row r="1091" spans="2:29" x14ac:dyDescent="0.2">
      <c r="B1091" s="151"/>
      <c r="C1091" s="152"/>
      <c r="H1091" s="340"/>
      <c r="L1091" s="131"/>
      <c r="M1091" s="131"/>
      <c r="N1091" s="131"/>
      <c r="O1091" s="131"/>
      <c r="P1091" s="131"/>
      <c r="Q1091" s="131"/>
      <c r="R1091" s="131"/>
      <c r="S1091" s="131"/>
      <c r="T1091" s="131"/>
      <c r="U1091" s="131"/>
      <c r="V1091" s="131"/>
      <c r="W1091" s="131"/>
      <c r="X1091" s="131"/>
      <c r="Y1091" s="131"/>
      <c r="Z1091" s="131"/>
      <c r="AA1091" s="131"/>
      <c r="AB1091" s="131"/>
      <c r="AC1091" s="131"/>
    </row>
    <row r="1092" spans="2:29" x14ac:dyDescent="0.2">
      <c r="B1092" s="151"/>
      <c r="C1092" s="152"/>
      <c r="H1092" s="340"/>
      <c r="L1092" s="131"/>
      <c r="M1092" s="131"/>
      <c r="N1092" s="131"/>
      <c r="O1092" s="131"/>
      <c r="P1092" s="131"/>
      <c r="Q1092" s="131"/>
      <c r="R1092" s="131"/>
      <c r="S1092" s="131"/>
      <c r="T1092" s="131"/>
      <c r="U1092" s="131"/>
      <c r="V1092" s="131"/>
      <c r="W1092" s="131"/>
      <c r="X1092" s="131"/>
      <c r="Y1092" s="131"/>
      <c r="Z1092" s="131"/>
      <c r="AA1092" s="131"/>
      <c r="AB1092" s="131"/>
      <c r="AC1092" s="131"/>
    </row>
    <row r="1093" spans="2:29" x14ac:dyDescent="0.2">
      <c r="B1093" s="151"/>
      <c r="C1093" s="152"/>
      <c r="H1093" s="340"/>
      <c r="L1093" s="131"/>
      <c r="M1093" s="131"/>
      <c r="N1093" s="131"/>
      <c r="O1093" s="131"/>
      <c r="P1093" s="131"/>
      <c r="Q1093" s="131"/>
      <c r="R1093" s="131"/>
      <c r="S1093" s="131"/>
      <c r="T1093" s="131"/>
      <c r="U1093" s="131"/>
      <c r="V1093" s="131"/>
      <c r="W1093" s="131"/>
      <c r="X1093" s="131"/>
      <c r="Y1093" s="131"/>
      <c r="Z1093" s="131"/>
      <c r="AA1093" s="131"/>
      <c r="AB1093" s="131"/>
      <c r="AC1093" s="131"/>
    </row>
    <row r="1094" spans="2:29" x14ac:dyDescent="0.2">
      <c r="B1094" s="151"/>
      <c r="C1094" s="152"/>
      <c r="H1094" s="340"/>
      <c r="L1094" s="131"/>
      <c r="M1094" s="131"/>
      <c r="N1094" s="131"/>
      <c r="O1094" s="131"/>
      <c r="P1094" s="131"/>
      <c r="Q1094" s="131"/>
      <c r="R1094" s="131"/>
      <c r="S1094" s="131"/>
      <c r="T1094" s="131"/>
      <c r="U1094" s="131"/>
      <c r="V1094" s="131"/>
      <c r="W1094" s="131"/>
      <c r="X1094" s="131"/>
      <c r="Y1094" s="131"/>
      <c r="Z1094" s="131"/>
      <c r="AA1094" s="131"/>
      <c r="AB1094" s="131"/>
      <c r="AC1094" s="131"/>
    </row>
    <row r="1095" spans="2:29" x14ac:dyDescent="0.2">
      <c r="B1095" s="151"/>
      <c r="C1095" s="152"/>
      <c r="H1095" s="340"/>
      <c r="L1095" s="131"/>
      <c r="M1095" s="131"/>
      <c r="N1095" s="131"/>
      <c r="O1095" s="131"/>
      <c r="P1095" s="131"/>
      <c r="Q1095" s="131"/>
      <c r="R1095" s="131"/>
      <c r="S1095" s="131"/>
      <c r="T1095" s="131"/>
      <c r="U1095" s="131"/>
      <c r="V1095" s="131"/>
      <c r="W1095" s="131"/>
      <c r="X1095" s="131"/>
      <c r="Y1095" s="131"/>
      <c r="Z1095" s="131"/>
      <c r="AA1095" s="131"/>
      <c r="AB1095" s="131"/>
      <c r="AC1095" s="131"/>
    </row>
    <row r="1096" spans="2:29" x14ac:dyDescent="0.2">
      <c r="B1096" s="151"/>
      <c r="C1096" s="152"/>
      <c r="H1096" s="340"/>
      <c r="L1096" s="131"/>
      <c r="M1096" s="131"/>
      <c r="N1096" s="131"/>
      <c r="O1096" s="131"/>
      <c r="P1096" s="131"/>
      <c r="Q1096" s="131"/>
      <c r="R1096" s="131"/>
      <c r="S1096" s="131"/>
      <c r="T1096" s="131"/>
      <c r="U1096" s="131"/>
      <c r="V1096" s="131"/>
      <c r="W1096" s="131"/>
      <c r="X1096" s="131"/>
      <c r="Y1096" s="131"/>
      <c r="Z1096" s="131"/>
      <c r="AA1096" s="131"/>
      <c r="AB1096" s="131"/>
      <c r="AC1096" s="131"/>
    </row>
    <row r="1097" spans="2:29" x14ac:dyDescent="0.2">
      <c r="B1097" s="151"/>
      <c r="C1097" s="152"/>
      <c r="H1097" s="340"/>
      <c r="L1097" s="131"/>
      <c r="M1097" s="131"/>
      <c r="N1097" s="131"/>
      <c r="O1097" s="131"/>
      <c r="P1097" s="131"/>
      <c r="Q1097" s="131"/>
      <c r="R1097" s="131"/>
      <c r="S1097" s="131"/>
      <c r="T1097" s="131"/>
      <c r="U1097" s="131"/>
      <c r="V1097" s="131"/>
      <c r="W1097" s="131"/>
      <c r="X1097" s="131"/>
      <c r="Y1097" s="131"/>
      <c r="Z1097" s="131"/>
      <c r="AA1097" s="131"/>
      <c r="AB1097" s="131"/>
      <c r="AC1097" s="131"/>
    </row>
    <row r="1098" spans="2:29" x14ac:dyDescent="0.2">
      <c r="B1098" s="151"/>
      <c r="C1098" s="152"/>
      <c r="H1098" s="340"/>
      <c r="L1098" s="131"/>
      <c r="M1098" s="131"/>
      <c r="N1098" s="131"/>
      <c r="O1098" s="131"/>
      <c r="P1098" s="131"/>
      <c r="Q1098" s="131"/>
      <c r="R1098" s="131"/>
      <c r="S1098" s="131"/>
      <c r="T1098" s="131"/>
      <c r="U1098" s="131"/>
      <c r="V1098" s="131"/>
      <c r="W1098" s="131"/>
      <c r="X1098" s="131"/>
      <c r="Y1098" s="131"/>
      <c r="Z1098" s="131"/>
      <c r="AA1098" s="131"/>
      <c r="AB1098" s="131"/>
      <c r="AC1098" s="131"/>
    </row>
    <row r="1099" spans="2:29" x14ac:dyDescent="0.2">
      <c r="B1099" s="151"/>
      <c r="C1099" s="152"/>
      <c r="H1099" s="340"/>
      <c r="L1099" s="131"/>
      <c r="M1099" s="131"/>
      <c r="N1099" s="131"/>
      <c r="O1099" s="131"/>
      <c r="P1099" s="131"/>
      <c r="Q1099" s="131"/>
      <c r="R1099" s="131"/>
      <c r="S1099" s="131"/>
      <c r="T1099" s="131"/>
      <c r="U1099" s="131"/>
      <c r="V1099" s="131"/>
      <c r="W1099" s="131"/>
      <c r="X1099" s="131"/>
      <c r="Y1099" s="131"/>
      <c r="Z1099" s="131"/>
      <c r="AA1099" s="131"/>
      <c r="AB1099" s="131"/>
      <c r="AC1099" s="131"/>
    </row>
    <row r="1100" spans="2:29" x14ac:dyDescent="0.2">
      <c r="B1100" s="151"/>
      <c r="C1100" s="152"/>
      <c r="H1100" s="340"/>
      <c r="L1100" s="131"/>
      <c r="M1100" s="131"/>
      <c r="N1100" s="131"/>
      <c r="O1100" s="131"/>
      <c r="P1100" s="131"/>
      <c r="Q1100" s="131"/>
      <c r="R1100" s="131"/>
      <c r="S1100" s="131"/>
      <c r="T1100" s="131"/>
      <c r="U1100" s="131"/>
      <c r="V1100" s="131"/>
      <c r="W1100" s="131"/>
      <c r="X1100" s="131"/>
      <c r="Y1100" s="131"/>
      <c r="Z1100" s="131"/>
      <c r="AA1100" s="131"/>
      <c r="AB1100" s="131"/>
      <c r="AC1100" s="131"/>
    </row>
    <row r="1101" spans="2:29" x14ac:dyDescent="0.2">
      <c r="B1101" s="151"/>
      <c r="C1101" s="152"/>
      <c r="H1101" s="340"/>
      <c r="L1101" s="131"/>
      <c r="M1101" s="131"/>
      <c r="N1101" s="131"/>
      <c r="O1101" s="131"/>
      <c r="P1101" s="131"/>
      <c r="Q1101" s="131"/>
      <c r="R1101" s="131"/>
      <c r="S1101" s="131"/>
      <c r="T1101" s="131"/>
      <c r="U1101" s="131"/>
      <c r="V1101" s="131"/>
      <c r="W1101" s="131"/>
      <c r="X1101" s="131"/>
      <c r="Y1101" s="131"/>
      <c r="Z1101" s="131"/>
      <c r="AA1101" s="131"/>
      <c r="AB1101" s="131"/>
      <c r="AC1101" s="131"/>
    </row>
    <row r="1102" spans="2:29" x14ac:dyDescent="0.2">
      <c r="B1102" s="151"/>
      <c r="C1102" s="152"/>
      <c r="H1102" s="340"/>
      <c r="L1102" s="131"/>
      <c r="M1102" s="131"/>
      <c r="N1102" s="131"/>
      <c r="O1102" s="131"/>
      <c r="P1102" s="131"/>
      <c r="Q1102" s="131"/>
      <c r="R1102" s="131"/>
      <c r="S1102" s="131"/>
      <c r="T1102" s="131"/>
      <c r="U1102" s="131"/>
      <c r="V1102" s="131"/>
      <c r="W1102" s="131"/>
      <c r="X1102" s="131"/>
      <c r="Y1102" s="131"/>
      <c r="Z1102" s="131"/>
      <c r="AA1102" s="131"/>
      <c r="AB1102" s="131"/>
      <c r="AC1102" s="131"/>
    </row>
    <row r="1103" spans="2:29" x14ac:dyDescent="0.2">
      <c r="B1103" s="151"/>
      <c r="C1103" s="152"/>
      <c r="H1103" s="340"/>
      <c r="L1103" s="131"/>
      <c r="M1103" s="131"/>
      <c r="N1103" s="131"/>
      <c r="O1103" s="131"/>
      <c r="P1103" s="131"/>
      <c r="Q1103" s="131"/>
      <c r="R1103" s="131"/>
      <c r="S1103" s="131"/>
      <c r="T1103" s="131"/>
      <c r="U1103" s="131"/>
      <c r="V1103" s="131"/>
      <c r="W1103" s="131"/>
      <c r="X1103" s="131"/>
      <c r="Y1103" s="131"/>
      <c r="Z1103" s="131"/>
      <c r="AA1103" s="131"/>
      <c r="AB1103" s="131"/>
      <c r="AC1103" s="131"/>
    </row>
    <row r="1104" spans="2:29" x14ac:dyDescent="0.2">
      <c r="B1104" s="151"/>
      <c r="C1104" s="152"/>
      <c r="H1104" s="340"/>
      <c r="L1104" s="131"/>
      <c r="M1104" s="131"/>
      <c r="N1104" s="131"/>
      <c r="O1104" s="131"/>
      <c r="P1104" s="131"/>
      <c r="Q1104" s="131"/>
      <c r="R1104" s="131"/>
      <c r="S1104" s="131"/>
      <c r="T1104" s="131"/>
      <c r="U1104" s="131"/>
      <c r="V1104" s="131"/>
      <c r="W1104" s="131"/>
      <c r="X1104" s="131"/>
      <c r="Y1104" s="131"/>
      <c r="Z1104" s="131"/>
      <c r="AA1104" s="131"/>
      <c r="AB1104" s="131"/>
      <c r="AC1104" s="131"/>
    </row>
    <row r="1105" spans="2:29" x14ac:dyDescent="0.2">
      <c r="B1105" s="151"/>
      <c r="C1105" s="152"/>
      <c r="H1105" s="340"/>
      <c r="L1105" s="131"/>
      <c r="M1105" s="131"/>
      <c r="N1105" s="131"/>
      <c r="O1105" s="131"/>
      <c r="P1105" s="131"/>
      <c r="Q1105" s="131"/>
      <c r="R1105" s="131"/>
      <c r="S1105" s="131"/>
      <c r="T1105" s="131"/>
      <c r="U1105" s="131"/>
      <c r="V1105" s="131"/>
      <c r="W1105" s="131"/>
      <c r="X1105" s="131"/>
      <c r="Y1105" s="131"/>
      <c r="Z1105" s="131"/>
      <c r="AA1105" s="131"/>
      <c r="AB1105" s="131"/>
      <c r="AC1105" s="131"/>
    </row>
    <row r="1106" spans="2:29" x14ac:dyDescent="0.2">
      <c r="B1106" s="151"/>
      <c r="C1106" s="152"/>
      <c r="H1106" s="340"/>
      <c r="L1106" s="131"/>
      <c r="M1106" s="131"/>
      <c r="N1106" s="131"/>
      <c r="O1106" s="131"/>
      <c r="P1106" s="131"/>
      <c r="Q1106" s="131"/>
      <c r="R1106" s="131"/>
      <c r="S1106" s="131"/>
      <c r="T1106" s="131"/>
      <c r="U1106" s="131"/>
      <c r="V1106" s="131"/>
      <c r="W1106" s="131"/>
      <c r="X1106" s="131"/>
      <c r="Y1106" s="131"/>
      <c r="Z1106" s="131"/>
      <c r="AA1106" s="131"/>
      <c r="AB1106" s="131"/>
      <c r="AC1106" s="131"/>
    </row>
    <row r="1107" spans="2:29" x14ac:dyDescent="0.2">
      <c r="B1107" s="151"/>
      <c r="C1107" s="152"/>
      <c r="H1107" s="340"/>
      <c r="L1107" s="131"/>
      <c r="M1107" s="131"/>
      <c r="N1107" s="131"/>
      <c r="O1107" s="131"/>
      <c r="P1107" s="131"/>
      <c r="Q1107" s="131"/>
      <c r="R1107" s="131"/>
      <c r="S1107" s="131"/>
      <c r="T1107" s="131"/>
      <c r="U1107" s="131"/>
      <c r="V1107" s="131"/>
      <c r="W1107" s="131"/>
      <c r="X1107" s="131"/>
      <c r="Y1107" s="131"/>
      <c r="Z1107" s="131"/>
      <c r="AA1107" s="131"/>
      <c r="AB1107" s="131"/>
      <c r="AC1107" s="131"/>
    </row>
    <row r="1108" spans="2:29" x14ac:dyDescent="0.2">
      <c r="B1108" s="151"/>
      <c r="C1108" s="152"/>
      <c r="H1108" s="340"/>
      <c r="L1108" s="131"/>
      <c r="M1108" s="131"/>
      <c r="N1108" s="131"/>
      <c r="O1108" s="131"/>
      <c r="P1108" s="131"/>
      <c r="Q1108" s="131"/>
      <c r="R1108" s="131"/>
      <c r="S1108" s="131"/>
      <c r="T1108" s="131"/>
      <c r="U1108" s="131"/>
      <c r="V1108" s="131"/>
      <c r="W1108" s="131"/>
      <c r="X1108" s="131"/>
      <c r="Y1108" s="131"/>
      <c r="Z1108" s="131"/>
      <c r="AA1108" s="131"/>
      <c r="AB1108" s="131"/>
      <c r="AC1108" s="131"/>
    </row>
    <row r="1109" spans="2:29" x14ac:dyDescent="0.2">
      <c r="B1109" s="151"/>
      <c r="C1109" s="152"/>
      <c r="H1109" s="340"/>
      <c r="L1109" s="131"/>
      <c r="M1109" s="131"/>
      <c r="N1109" s="131"/>
      <c r="O1109" s="131"/>
      <c r="P1109" s="131"/>
      <c r="Q1109" s="131"/>
      <c r="R1109" s="131"/>
      <c r="S1109" s="131"/>
      <c r="T1109" s="131"/>
      <c r="U1109" s="131"/>
      <c r="V1109" s="131"/>
      <c r="W1109" s="131"/>
      <c r="X1109" s="131"/>
      <c r="Y1109" s="131"/>
      <c r="Z1109" s="131"/>
      <c r="AA1109" s="131"/>
      <c r="AB1109" s="131"/>
      <c r="AC1109" s="131"/>
    </row>
    <row r="1110" spans="2:29" x14ac:dyDescent="0.2">
      <c r="B1110" s="151"/>
      <c r="C1110" s="152"/>
      <c r="H1110" s="340"/>
      <c r="L1110" s="131"/>
      <c r="M1110" s="131"/>
      <c r="N1110" s="131"/>
      <c r="O1110" s="131"/>
      <c r="P1110" s="131"/>
      <c r="Q1110" s="131"/>
      <c r="R1110" s="131"/>
      <c r="S1110" s="131"/>
      <c r="T1110" s="131"/>
      <c r="U1110" s="131"/>
      <c r="V1110" s="131"/>
      <c r="W1110" s="131"/>
      <c r="X1110" s="131"/>
      <c r="Y1110" s="131"/>
      <c r="Z1110" s="131"/>
      <c r="AA1110" s="131"/>
      <c r="AB1110" s="131"/>
      <c r="AC1110" s="131"/>
    </row>
    <row r="1111" spans="2:29" x14ac:dyDescent="0.2">
      <c r="B1111" s="151"/>
      <c r="C1111" s="152"/>
      <c r="H1111" s="340"/>
      <c r="L1111" s="131"/>
      <c r="M1111" s="131"/>
      <c r="N1111" s="131"/>
      <c r="O1111" s="131"/>
      <c r="P1111" s="131"/>
      <c r="Q1111" s="131"/>
      <c r="R1111" s="131"/>
      <c r="S1111" s="131"/>
      <c r="T1111" s="131"/>
      <c r="U1111" s="131"/>
      <c r="V1111" s="131"/>
      <c r="W1111" s="131"/>
      <c r="X1111" s="131"/>
      <c r="Y1111" s="131"/>
      <c r="Z1111" s="131"/>
      <c r="AA1111" s="131"/>
      <c r="AB1111" s="131"/>
      <c r="AC1111" s="131"/>
    </row>
    <row r="1112" spans="2:29" x14ac:dyDescent="0.2">
      <c r="B1112" s="151"/>
      <c r="C1112" s="152"/>
      <c r="H1112" s="340"/>
      <c r="L1112" s="131"/>
      <c r="M1112" s="131"/>
      <c r="N1112" s="131"/>
      <c r="O1112" s="131"/>
      <c r="P1112" s="131"/>
      <c r="Q1112" s="131"/>
      <c r="R1112" s="131"/>
      <c r="S1112" s="131"/>
      <c r="T1112" s="131"/>
      <c r="U1112" s="131"/>
      <c r="V1112" s="131"/>
      <c r="W1112" s="131"/>
      <c r="X1112" s="131"/>
      <c r="Y1112" s="131"/>
      <c r="Z1112" s="131"/>
      <c r="AA1112" s="131"/>
      <c r="AB1112" s="131"/>
      <c r="AC1112" s="131"/>
    </row>
    <row r="1113" spans="2:29" x14ac:dyDescent="0.2">
      <c r="B1113" s="151"/>
      <c r="C1113" s="152"/>
      <c r="H1113" s="340"/>
      <c r="L1113" s="131"/>
      <c r="M1113" s="131"/>
      <c r="N1113" s="131"/>
      <c r="O1113" s="131"/>
      <c r="P1113" s="131"/>
      <c r="Q1113" s="131"/>
      <c r="R1113" s="131"/>
      <c r="S1113" s="131"/>
      <c r="T1113" s="131"/>
      <c r="U1113" s="131"/>
      <c r="V1113" s="131"/>
      <c r="W1113" s="131"/>
      <c r="X1113" s="131"/>
      <c r="Y1113" s="131"/>
      <c r="Z1113" s="131"/>
      <c r="AA1113" s="131"/>
      <c r="AB1113" s="131"/>
      <c r="AC1113" s="131"/>
    </row>
    <row r="1114" spans="2:29" x14ac:dyDescent="0.2">
      <c r="B1114" s="151"/>
      <c r="C1114" s="152"/>
      <c r="H1114" s="340"/>
      <c r="L1114" s="131"/>
      <c r="M1114" s="131"/>
      <c r="N1114" s="131"/>
      <c r="O1114" s="131"/>
      <c r="P1114" s="131"/>
      <c r="Q1114" s="131"/>
      <c r="R1114" s="131"/>
      <c r="S1114" s="131"/>
      <c r="T1114" s="131"/>
      <c r="U1114" s="131"/>
      <c r="V1114" s="131"/>
      <c r="W1114" s="131"/>
      <c r="X1114" s="131"/>
      <c r="Y1114" s="131"/>
      <c r="Z1114" s="131"/>
      <c r="AA1114" s="131"/>
      <c r="AB1114" s="131"/>
      <c r="AC1114" s="131"/>
    </row>
    <row r="1115" spans="2:29" x14ac:dyDescent="0.2">
      <c r="B1115" s="151"/>
      <c r="C1115" s="152"/>
      <c r="H1115" s="340"/>
      <c r="L1115" s="131"/>
      <c r="M1115" s="131"/>
      <c r="N1115" s="131"/>
      <c r="O1115" s="131"/>
      <c r="P1115" s="131"/>
      <c r="Q1115" s="131"/>
      <c r="R1115" s="131"/>
      <c r="S1115" s="131"/>
      <c r="T1115" s="131"/>
      <c r="U1115" s="131"/>
      <c r="V1115" s="131"/>
      <c r="W1115" s="131"/>
      <c r="X1115" s="131"/>
      <c r="Y1115" s="131"/>
      <c r="Z1115" s="131"/>
      <c r="AA1115" s="131"/>
      <c r="AB1115" s="131"/>
      <c r="AC1115" s="131"/>
    </row>
    <row r="1116" spans="2:29" x14ac:dyDescent="0.2">
      <c r="B1116" s="151"/>
      <c r="C1116" s="152"/>
      <c r="H1116" s="340"/>
      <c r="L1116" s="131"/>
      <c r="M1116" s="131"/>
      <c r="N1116" s="131"/>
      <c r="O1116" s="131"/>
      <c r="P1116" s="131"/>
      <c r="Q1116" s="131"/>
      <c r="R1116" s="131"/>
      <c r="S1116" s="131"/>
      <c r="T1116" s="131"/>
      <c r="U1116" s="131"/>
      <c r="V1116" s="131"/>
      <c r="W1116" s="131"/>
      <c r="X1116" s="131"/>
      <c r="Y1116" s="131"/>
      <c r="Z1116" s="131"/>
      <c r="AA1116" s="131"/>
      <c r="AB1116" s="131"/>
      <c r="AC1116" s="131"/>
    </row>
    <row r="1117" spans="2:29" x14ac:dyDescent="0.2">
      <c r="B1117" s="151"/>
      <c r="C1117" s="152"/>
      <c r="H1117" s="340"/>
      <c r="L1117" s="131"/>
      <c r="M1117" s="131"/>
      <c r="N1117" s="131"/>
      <c r="O1117" s="131"/>
      <c r="P1117" s="131"/>
      <c r="Q1117" s="131"/>
      <c r="R1117" s="131"/>
      <c r="S1117" s="131"/>
      <c r="T1117" s="131"/>
      <c r="U1117" s="131"/>
      <c r="V1117" s="131"/>
      <c r="W1117" s="131"/>
      <c r="X1117" s="131"/>
      <c r="Y1117" s="131"/>
      <c r="Z1117" s="131"/>
      <c r="AA1117" s="131"/>
      <c r="AB1117" s="131"/>
      <c r="AC1117" s="131"/>
    </row>
    <row r="1118" spans="2:29" x14ac:dyDescent="0.2">
      <c r="B1118" s="151"/>
      <c r="C1118" s="152"/>
      <c r="H1118" s="340"/>
      <c r="L1118" s="131"/>
      <c r="M1118" s="131"/>
      <c r="N1118" s="131"/>
      <c r="O1118" s="131"/>
      <c r="P1118" s="131"/>
      <c r="Q1118" s="131"/>
      <c r="R1118" s="131"/>
      <c r="S1118" s="131"/>
      <c r="T1118" s="131"/>
      <c r="U1118" s="131"/>
      <c r="V1118" s="131"/>
      <c r="W1118" s="131"/>
      <c r="X1118" s="131"/>
      <c r="Y1118" s="131"/>
      <c r="Z1118" s="131"/>
      <c r="AA1118" s="131"/>
      <c r="AB1118" s="131"/>
      <c r="AC1118" s="131"/>
    </row>
    <row r="1119" spans="2:29" x14ac:dyDescent="0.2">
      <c r="B1119" s="151"/>
      <c r="C1119" s="152"/>
      <c r="H1119" s="340"/>
      <c r="L1119" s="131"/>
      <c r="M1119" s="131"/>
      <c r="N1119" s="131"/>
      <c r="O1119" s="131"/>
      <c r="P1119" s="131"/>
      <c r="Q1119" s="131"/>
      <c r="R1119" s="131"/>
      <c r="S1119" s="131"/>
      <c r="T1119" s="131"/>
      <c r="U1119" s="131"/>
      <c r="V1119" s="131"/>
      <c r="W1119" s="131"/>
      <c r="X1119" s="131"/>
      <c r="Y1119" s="131"/>
      <c r="Z1119" s="131"/>
      <c r="AA1119" s="131"/>
      <c r="AB1119" s="131"/>
      <c r="AC1119" s="131"/>
    </row>
    <row r="1120" spans="2:29" x14ac:dyDescent="0.2">
      <c r="B1120" s="151"/>
      <c r="C1120" s="152"/>
      <c r="H1120" s="340"/>
      <c r="L1120" s="131"/>
      <c r="M1120" s="131"/>
      <c r="N1120" s="131"/>
      <c r="O1120" s="131"/>
      <c r="P1120" s="131"/>
      <c r="Q1120" s="131"/>
      <c r="R1120" s="131"/>
      <c r="S1120" s="131"/>
      <c r="T1120" s="131"/>
      <c r="U1120" s="131"/>
      <c r="V1120" s="131"/>
      <c r="W1120" s="131"/>
      <c r="X1120" s="131"/>
      <c r="Y1120" s="131"/>
      <c r="Z1120" s="131"/>
      <c r="AA1120" s="131"/>
      <c r="AB1120" s="131"/>
      <c r="AC1120" s="131"/>
    </row>
    <row r="1121" spans="2:29" x14ac:dyDescent="0.2">
      <c r="B1121" s="151"/>
      <c r="C1121" s="152"/>
      <c r="H1121" s="340"/>
      <c r="L1121" s="131"/>
      <c r="M1121" s="131"/>
      <c r="N1121" s="131"/>
      <c r="O1121" s="131"/>
      <c r="P1121" s="131"/>
      <c r="Q1121" s="131"/>
      <c r="R1121" s="131"/>
      <c r="S1121" s="131"/>
      <c r="T1121" s="131"/>
      <c r="U1121" s="131"/>
      <c r="V1121" s="131"/>
      <c r="W1121" s="131"/>
      <c r="X1121" s="131"/>
      <c r="Y1121" s="131"/>
      <c r="Z1121" s="131"/>
      <c r="AA1121" s="131"/>
      <c r="AB1121" s="131"/>
      <c r="AC1121" s="131"/>
    </row>
    <row r="1122" spans="2:29" x14ac:dyDescent="0.2">
      <c r="B1122" s="151"/>
      <c r="C1122" s="152"/>
      <c r="H1122" s="340"/>
      <c r="L1122" s="131"/>
      <c r="M1122" s="131"/>
      <c r="N1122" s="131"/>
      <c r="O1122" s="131"/>
      <c r="P1122" s="131"/>
      <c r="Q1122" s="131"/>
      <c r="R1122" s="131"/>
      <c r="S1122" s="131"/>
      <c r="T1122" s="131"/>
      <c r="U1122" s="131"/>
      <c r="V1122" s="131"/>
      <c r="W1122" s="131"/>
      <c r="X1122" s="131"/>
      <c r="Y1122" s="131"/>
      <c r="Z1122" s="131"/>
      <c r="AA1122" s="131"/>
      <c r="AB1122" s="131"/>
      <c r="AC1122" s="131"/>
    </row>
    <row r="1123" spans="2:29" x14ac:dyDescent="0.2">
      <c r="B1123" s="151"/>
      <c r="C1123" s="152"/>
      <c r="H1123" s="340"/>
      <c r="L1123" s="131"/>
      <c r="M1123" s="131"/>
      <c r="N1123" s="131"/>
      <c r="O1123" s="131"/>
      <c r="P1123" s="131"/>
      <c r="Q1123" s="131"/>
      <c r="R1123" s="131"/>
      <c r="S1123" s="131"/>
      <c r="T1123" s="131"/>
      <c r="U1123" s="131"/>
      <c r="V1123" s="131"/>
      <c r="W1123" s="131"/>
      <c r="X1123" s="131"/>
      <c r="Y1123" s="131"/>
      <c r="Z1123" s="131"/>
      <c r="AA1123" s="131"/>
      <c r="AB1123" s="131"/>
      <c r="AC1123" s="131"/>
    </row>
    <row r="1124" spans="2:29" x14ac:dyDescent="0.2">
      <c r="B1124" s="151"/>
      <c r="C1124" s="152"/>
      <c r="H1124" s="340"/>
      <c r="L1124" s="131"/>
      <c r="M1124" s="131"/>
      <c r="N1124" s="131"/>
      <c r="O1124" s="131"/>
      <c r="P1124" s="131"/>
      <c r="Q1124" s="131"/>
      <c r="R1124" s="131"/>
      <c r="S1124" s="131"/>
      <c r="T1124" s="131"/>
      <c r="U1124" s="131"/>
      <c r="V1124" s="131"/>
      <c r="W1124" s="131"/>
      <c r="X1124" s="131"/>
      <c r="Y1124" s="131"/>
      <c r="Z1124" s="131"/>
      <c r="AA1124" s="131"/>
      <c r="AB1124" s="131"/>
      <c r="AC1124" s="131"/>
    </row>
    <row r="1125" spans="2:29" x14ac:dyDescent="0.2">
      <c r="B1125" s="151"/>
      <c r="C1125" s="152"/>
      <c r="H1125" s="340"/>
      <c r="L1125" s="131"/>
      <c r="M1125" s="131"/>
      <c r="N1125" s="131"/>
      <c r="O1125" s="131"/>
      <c r="P1125" s="131"/>
      <c r="Q1125" s="131"/>
      <c r="R1125" s="131"/>
      <c r="S1125" s="131"/>
      <c r="T1125" s="131"/>
      <c r="U1125" s="131"/>
      <c r="V1125" s="131"/>
      <c r="W1125" s="131"/>
      <c r="X1125" s="131"/>
      <c r="Y1125" s="131"/>
      <c r="Z1125" s="131"/>
      <c r="AA1125" s="131"/>
      <c r="AB1125" s="131"/>
      <c r="AC1125" s="131"/>
    </row>
    <row r="1126" spans="2:29" x14ac:dyDescent="0.2">
      <c r="B1126" s="151"/>
      <c r="C1126" s="152"/>
      <c r="H1126" s="340"/>
      <c r="L1126" s="131"/>
      <c r="M1126" s="131"/>
      <c r="N1126" s="131"/>
      <c r="O1126" s="131"/>
      <c r="P1126" s="131"/>
      <c r="Q1126" s="131"/>
      <c r="R1126" s="131"/>
      <c r="S1126" s="131"/>
      <c r="T1126" s="131"/>
      <c r="U1126" s="131"/>
      <c r="V1126" s="131"/>
      <c r="W1126" s="131"/>
      <c r="X1126" s="131"/>
      <c r="Y1126" s="131"/>
      <c r="Z1126" s="131"/>
      <c r="AA1126" s="131"/>
      <c r="AB1126" s="131"/>
      <c r="AC1126" s="131"/>
    </row>
    <row r="1127" spans="2:29" x14ac:dyDescent="0.2">
      <c r="B1127" s="151"/>
      <c r="C1127" s="152"/>
      <c r="H1127" s="340"/>
      <c r="L1127" s="131"/>
      <c r="M1127" s="131"/>
      <c r="N1127" s="131"/>
      <c r="O1127" s="131"/>
      <c r="P1127" s="131"/>
      <c r="Q1127" s="131"/>
      <c r="R1127" s="131"/>
      <c r="S1127" s="131"/>
      <c r="T1127" s="131"/>
      <c r="U1127" s="131"/>
      <c r="V1127" s="131"/>
      <c r="W1127" s="131"/>
      <c r="X1127" s="131"/>
      <c r="Y1127" s="131"/>
      <c r="Z1127" s="131"/>
      <c r="AA1127" s="131"/>
      <c r="AB1127" s="131"/>
      <c r="AC1127" s="131"/>
    </row>
    <row r="1128" spans="2:29" x14ac:dyDescent="0.2">
      <c r="B1128" s="151"/>
      <c r="C1128" s="152"/>
      <c r="H1128" s="340"/>
      <c r="L1128" s="131"/>
      <c r="M1128" s="131"/>
      <c r="N1128" s="131"/>
      <c r="O1128" s="131"/>
      <c r="P1128" s="131"/>
      <c r="Q1128" s="131"/>
      <c r="R1128" s="131"/>
      <c r="S1128" s="131"/>
      <c r="T1128" s="131"/>
      <c r="U1128" s="131"/>
      <c r="V1128" s="131"/>
      <c r="W1128" s="131"/>
      <c r="X1128" s="131"/>
      <c r="Y1128" s="131"/>
      <c r="Z1128" s="131"/>
      <c r="AA1128" s="131"/>
      <c r="AB1128" s="131"/>
      <c r="AC1128" s="131"/>
    </row>
    <row r="1129" spans="2:29" x14ac:dyDescent="0.2">
      <c r="B1129" s="151"/>
      <c r="C1129" s="152"/>
      <c r="H1129" s="340"/>
      <c r="L1129" s="131"/>
      <c r="M1129" s="131"/>
      <c r="N1129" s="131"/>
      <c r="O1129" s="131"/>
      <c r="P1129" s="131"/>
      <c r="Q1129" s="131"/>
      <c r="R1129" s="131"/>
      <c r="S1129" s="131"/>
      <c r="T1129" s="131"/>
      <c r="U1129" s="131"/>
      <c r="V1129" s="131"/>
      <c r="W1129" s="131"/>
      <c r="X1129" s="131"/>
      <c r="Y1129" s="131"/>
      <c r="Z1129" s="131"/>
      <c r="AA1129" s="131"/>
      <c r="AB1129" s="131"/>
      <c r="AC1129" s="131"/>
    </row>
    <row r="1130" spans="2:29" x14ac:dyDescent="0.2">
      <c r="B1130" s="151"/>
      <c r="C1130" s="152"/>
      <c r="H1130" s="340"/>
      <c r="L1130" s="131"/>
      <c r="M1130" s="131"/>
      <c r="N1130" s="131"/>
      <c r="O1130" s="131"/>
      <c r="P1130" s="131"/>
      <c r="Q1130" s="131"/>
      <c r="R1130" s="131"/>
      <c r="S1130" s="131"/>
      <c r="T1130" s="131"/>
      <c r="U1130" s="131"/>
      <c r="V1130" s="131"/>
      <c r="W1130" s="131"/>
      <c r="X1130" s="131"/>
      <c r="Y1130" s="131"/>
      <c r="Z1130" s="131"/>
      <c r="AA1130" s="131"/>
      <c r="AB1130" s="131"/>
      <c r="AC1130" s="131"/>
    </row>
    <row r="1131" spans="2:29" x14ac:dyDescent="0.2">
      <c r="B1131" s="151"/>
      <c r="C1131" s="152"/>
      <c r="H1131" s="340"/>
      <c r="L1131" s="131"/>
      <c r="M1131" s="131"/>
      <c r="N1131" s="131"/>
      <c r="O1131" s="131"/>
      <c r="P1131" s="131"/>
      <c r="Q1131" s="131"/>
      <c r="R1131" s="131"/>
      <c r="S1131" s="131"/>
      <c r="T1131" s="131"/>
      <c r="U1131" s="131"/>
      <c r="V1131" s="131"/>
      <c r="W1131" s="131"/>
      <c r="X1131" s="131"/>
      <c r="Y1131" s="131"/>
      <c r="Z1131" s="131"/>
      <c r="AA1131" s="131"/>
      <c r="AB1131" s="131"/>
      <c r="AC1131" s="131"/>
    </row>
    <row r="1132" spans="2:29" x14ac:dyDescent="0.2">
      <c r="B1132" s="151"/>
      <c r="C1132" s="152"/>
      <c r="H1132" s="340"/>
      <c r="L1132" s="131"/>
      <c r="M1132" s="131"/>
      <c r="N1132" s="131"/>
      <c r="O1132" s="131"/>
      <c r="P1132" s="131"/>
      <c r="Q1132" s="131"/>
      <c r="R1132" s="131"/>
      <c r="S1132" s="131"/>
      <c r="T1132" s="131"/>
      <c r="U1132" s="131"/>
      <c r="V1132" s="131"/>
      <c r="W1132" s="131"/>
      <c r="X1132" s="131"/>
      <c r="Y1132" s="131"/>
      <c r="Z1132" s="131"/>
      <c r="AA1132" s="131"/>
      <c r="AB1132" s="131"/>
      <c r="AC1132" s="131"/>
    </row>
    <row r="1133" spans="2:29" x14ac:dyDescent="0.2">
      <c r="B1133" s="151"/>
      <c r="C1133" s="152"/>
      <c r="H1133" s="340"/>
      <c r="L1133" s="131"/>
      <c r="M1133" s="131"/>
      <c r="N1133" s="131"/>
      <c r="O1133" s="131"/>
      <c r="P1133" s="131"/>
      <c r="Q1133" s="131"/>
      <c r="R1133" s="131"/>
      <c r="S1133" s="131"/>
      <c r="T1133" s="131"/>
      <c r="U1133" s="131"/>
      <c r="V1133" s="131"/>
      <c r="W1133" s="131"/>
      <c r="X1133" s="131"/>
      <c r="Y1133" s="131"/>
      <c r="Z1133" s="131"/>
      <c r="AA1133" s="131"/>
      <c r="AB1133" s="131"/>
      <c r="AC1133" s="131"/>
    </row>
    <row r="1134" spans="2:29" x14ac:dyDescent="0.2">
      <c r="B1134" s="151"/>
      <c r="C1134" s="152"/>
      <c r="H1134" s="340"/>
      <c r="L1134" s="131"/>
      <c r="M1134" s="131"/>
      <c r="N1134" s="131"/>
      <c r="O1134" s="131"/>
      <c r="P1134" s="131"/>
      <c r="Q1134" s="131"/>
      <c r="R1134" s="131"/>
      <c r="S1134" s="131"/>
      <c r="T1134" s="131"/>
      <c r="U1134" s="131"/>
      <c r="V1134" s="131"/>
      <c r="W1134" s="131"/>
      <c r="X1134" s="131"/>
      <c r="Y1134" s="131"/>
      <c r="Z1134" s="131"/>
      <c r="AA1134" s="131"/>
      <c r="AB1134" s="131"/>
      <c r="AC1134" s="131"/>
    </row>
    <row r="1135" spans="2:29" x14ac:dyDescent="0.2">
      <c r="B1135" s="151"/>
      <c r="C1135" s="152"/>
      <c r="H1135" s="340"/>
      <c r="L1135" s="131"/>
      <c r="M1135" s="131"/>
      <c r="N1135" s="131"/>
      <c r="O1135" s="131"/>
      <c r="P1135" s="131"/>
      <c r="Q1135" s="131"/>
      <c r="R1135" s="131"/>
      <c r="S1135" s="131"/>
      <c r="T1135" s="131"/>
      <c r="U1135" s="131"/>
      <c r="V1135" s="131"/>
      <c r="W1135" s="131"/>
      <c r="X1135" s="131"/>
      <c r="Y1135" s="131"/>
      <c r="Z1135" s="131"/>
      <c r="AA1135" s="131"/>
      <c r="AB1135" s="131"/>
      <c r="AC1135" s="131"/>
    </row>
    <row r="1136" spans="2:29" x14ac:dyDescent="0.2">
      <c r="B1136" s="151"/>
      <c r="C1136" s="152"/>
      <c r="H1136" s="340"/>
      <c r="L1136" s="131"/>
      <c r="M1136" s="131"/>
      <c r="N1136" s="131"/>
      <c r="O1136" s="131"/>
      <c r="P1136" s="131"/>
      <c r="Q1136" s="131"/>
      <c r="R1136" s="131"/>
      <c r="S1136" s="131"/>
      <c r="T1136" s="131"/>
      <c r="U1136" s="131"/>
      <c r="V1136" s="131"/>
      <c r="W1136" s="131"/>
      <c r="X1136" s="131"/>
      <c r="Y1136" s="131"/>
      <c r="Z1136" s="131"/>
      <c r="AA1136" s="131"/>
      <c r="AB1136" s="131"/>
      <c r="AC1136" s="131"/>
    </row>
    <row r="1137" spans="2:29" x14ac:dyDescent="0.2">
      <c r="B1137" s="151"/>
      <c r="C1137" s="152"/>
      <c r="H1137" s="340"/>
      <c r="L1137" s="131"/>
      <c r="M1137" s="131"/>
      <c r="N1137" s="131"/>
      <c r="O1137" s="131"/>
      <c r="P1137" s="131"/>
      <c r="Q1137" s="131"/>
      <c r="R1137" s="131"/>
      <c r="S1137" s="131"/>
      <c r="T1137" s="131"/>
      <c r="U1137" s="131"/>
      <c r="V1137" s="131"/>
      <c r="W1137" s="131"/>
      <c r="X1137" s="131"/>
      <c r="Y1137" s="131"/>
      <c r="Z1137" s="131"/>
      <c r="AA1137" s="131"/>
      <c r="AB1137" s="131"/>
      <c r="AC1137" s="131"/>
    </row>
    <row r="1138" spans="2:29" x14ac:dyDescent="0.2">
      <c r="B1138" s="151"/>
      <c r="C1138" s="152"/>
      <c r="H1138" s="340"/>
      <c r="L1138" s="131"/>
      <c r="M1138" s="131"/>
      <c r="N1138" s="131"/>
      <c r="O1138" s="131"/>
      <c r="P1138" s="131"/>
      <c r="Q1138" s="131"/>
      <c r="R1138" s="131"/>
      <c r="S1138" s="131"/>
      <c r="T1138" s="131"/>
      <c r="U1138" s="131"/>
      <c r="V1138" s="131"/>
      <c r="W1138" s="131"/>
      <c r="X1138" s="131"/>
      <c r="Y1138" s="131"/>
      <c r="Z1138" s="131"/>
      <c r="AA1138" s="131"/>
      <c r="AB1138" s="131"/>
      <c r="AC1138" s="131"/>
    </row>
    <row r="1139" spans="2:29" x14ac:dyDescent="0.2">
      <c r="B1139" s="151"/>
      <c r="C1139" s="152"/>
      <c r="H1139" s="340"/>
      <c r="L1139" s="131"/>
      <c r="M1139" s="131"/>
      <c r="N1139" s="131"/>
      <c r="O1139" s="131"/>
      <c r="P1139" s="131"/>
      <c r="Q1139" s="131"/>
      <c r="R1139" s="131"/>
      <c r="S1139" s="131"/>
      <c r="T1139" s="131"/>
      <c r="U1139" s="131"/>
      <c r="V1139" s="131"/>
      <c r="W1139" s="131"/>
      <c r="X1139" s="131"/>
      <c r="Y1139" s="131"/>
      <c r="Z1139" s="131"/>
      <c r="AA1139" s="131"/>
      <c r="AB1139" s="131"/>
      <c r="AC1139" s="131"/>
    </row>
    <row r="1140" spans="2:29" x14ac:dyDescent="0.2">
      <c r="B1140" s="151"/>
      <c r="C1140" s="152"/>
      <c r="H1140" s="340"/>
      <c r="L1140" s="131"/>
      <c r="M1140" s="131"/>
      <c r="N1140" s="131"/>
      <c r="O1140" s="131"/>
      <c r="P1140" s="131"/>
      <c r="Q1140" s="131"/>
      <c r="R1140" s="131"/>
      <c r="S1140" s="131"/>
      <c r="T1140" s="131"/>
      <c r="U1140" s="131"/>
      <c r="V1140" s="131"/>
      <c r="W1140" s="131"/>
      <c r="X1140" s="131"/>
      <c r="Y1140" s="131"/>
      <c r="Z1140" s="131"/>
      <c r="AA1140" s="131"/>
      <c r="AB1140" s="131"/>
      <c r="AC1140" s="131"/>
    </row>
    <row r="1141" spans="2:29" x14ac:dyDescent="0.2">
      <c r="B1141" s="151"/>
      <c r="C1141" s="152"/>
      <c r="H1141" s="340"/>
      <c r="L1141" s="131"/>
      <c r="M1141" s="131"/>
      <c r="N1141" s="131"/>
      <c r="O1141" s="131"/>
      <c r="P1141" s="131"/>
      <c r="Q1141" s="131"/>
      <c r="R1141" s="131"/>
      <c r="S1141" s="131"/>
      <c r="T1141" s="131"/>
      <c r="U1141" s="131"/>
      <c r="V1141" s="131"/>
      <c r="W1141" s="131"/>
      <c r="X1141" s="131"/>
      <c r="Y1141" s="131"/>
      <c r="Z1141" s="131"/>
      <c r="AA1141" s="131"/>
      <c r="AB1141" s="131"/>
      <c r="AC1141" s="131"/>
    </row>
    <row r="1142" spans="2:29" x14ac:dyDescent="0.2">
      <c r="B1142" s="151"/>
      <c r="C1142" s="152"/>
      <c r="H1142" s="340"/>
      <c r="L1142" s="131"/>
      <c r="M1142" s="131"/>
      <c r="N1142" s="131"/>
      <c r="O1142" s="131"/>
      <c r="P1142" s="131"/>
      <c r="Q1142" s="131"/>
      <c r="R1142" s="131"/>
      <c r="S1142" s="131"/>
      <c r="T1142" s="131"/>
      <c r="U1142" s="131"/>
      <c r="V1142" s="131"/>
      <c r="W1142" s="131"/>
      <c r="X1142" s="131"/>
      <c r="Y1142" s="131"/>
      <c r="Z1142" s="131"/>
      <c r="AA1142" s="131"/>
      <c r="AB1142" s="131"/>
      <c r="AC1142" s="131"/>
    </row>
    <row r="1143" spans="2:29" x14ac:dyDescent="0.2">
      <c r="B1143" s="151"/>
      <c r="C1143" s="152"/>
      <c r="H1143" s="340"/>
      <c r="L1143" s="131"/>
      <c r="M1143" s="131"/>
      <c r="N1143" s="131"/>
      <c r="O1143" s="131"/>
      <c r="P1143" s="131"/>
      <c r="Q1143" s="131"/>
      <c r="R1143" s="131"/>
      <c r="S1143" s="131"/>
      <c r="T1143" s="131"/>
      <c r="U1143" s="131"/>
      <c r="V1143" s="131"/>
      <c r="W1143" s="131"/>
      <c r="X1143" s="131"/>
      <c r="Y1143" s="131"/>
      <c r="Z1143" s="131"/>
      <c r="AA1143" s="131"/>
      <c r="AB1143" s="131"/>
      <c r="AC1143" s="131"/>
    </row>
    <row r="1144" spans="2:29" x14ac:dyDescent="0.2">
      <c r="B1144" s="151"/>
      <c r="C1144" s="152"/>
      <c r="H1144" s="340"/>
      <c r="L1144" s="131"/>
      <c r="M1144" s="131"/>
      <c r="N1144" s="131"/>
      <c r="O1144" s="131"/>
      <c r="P1144" s="131"/>
      <c r="Q1144" s="131"/>
      <c r="R1144" s="131"/>
      <c r="S1144" s="131"/>
      <c r="T1144" s="131"/>
      <c r="U1144" s="131"/>
      <c r="V1144" s="131"/>
      <c r="W1144" s="131"/>
      <c r="X1144" s="131"/>
      <c r="Y1144" s="131"/>
      <c r="Z1144" s="131"/>
      <c r="AA1144" s="131"/>
      <c r="AB1144" s="131"/>
      <c r="AC1144" s="131"/>
    </row>
    <row r="1145" spans="2:29" x14ac:dyDescent="0.2">
      <c r="B1145" s="151"/>
      <c r="C1145" s="152"/>
      <c r="H1145" s="340"/>
      <c r="L1145" s="131"/>
      <c r="M1145" s="131"/>
      <c r="N1145" s="131"/>
      <c r="O1145" s="131"/>
      <c r="P1145" s="131"/>
      <c r="Q1145" s="131"/>
      <c r="R1145" s="131"/>
      <c r="S1145" s="131"/>
      <c r="T1145" s="131"/>
      <c r="U1145" s="131"/>
      <c r="V1145" s="131"/>
      <c r="W1145" s="131"/>
      <c r="X1145" s="131"/>
      <c r="Y1145" s="131"/>
      <c r="Z1145" s="131"/>
      <c r="AA1145" s="131"/>
      <c r="AB1145" s="131"/>
      <c r="AC1145" s="131"/>
    </row>
    <row r="1146" spans="2:29" x14ac:dyDescent="0.2">
      <c r="B1146" s="151"/>
      <c r="C1146" s="152"/>
      <c r="H1146" s="340"/>
      <c r="L1146" s="131"/>
      <c r="M1146" s="131"/>
      <c r="N1146" s="131"/>
      <c r="O1146" s="131"/>
      <c r="P1146" s="131"/>
      <c r="Q1146" s="131"/>
      <c r="R1146" s="131"/>
      <c r="S1146" s="131"/>
      <c r="T1146" s="131"/>
      <c r="U1146" s="131"/>
      <c r="V1146" s="131"/>
      <c r="W1146" s="131"/>
      <c r="X1146" s="131"/>
      <c r="Y1146" s="131"/>
      <c r="Z1146" s="131"/>
      <c r="AA1146" s="131"/>
      <c r="AB1146" s="131"/>
      <c r="AC1146" s="131"/>
    </row>
    <row r="1147" spans="2:29" x14ac:dyDescent="0.2">
      <c r="B1147" s="151"/>
      <c r="C1147" s="152"/>
      <c r="H1147" s="340"/>
      <c r="L1147" s="131"/>
      <c r="M1147" s="131"/>
      <c r="N1147" s="131"/>
      <c r="O1147" s="131"/>
      <c r="P1147" s="131"/>
      <c r="Q1147" s="131"/>
      <c r="R1147" s="131"/>
      <c r="S1147" s="131"/>
      <c r="T1147" s="131"/>
      <c r="U1147" s="131"/>
      <c r="V1147" s="131"/>
      <c r="W1147" s="131"/>
      <c r="X1147" s="131"/>
      <c r="Y1147" s="131"/>
      <c r="Z1147" s="131"/>
      <c r="AA1147" s="131"/>
      <c r="AB1147" s="131"/>
      <c r="AC1147" s="131"/>
    </row>
    <row r="1148" spans="2:29" x14ac:dyDescent="0.2">
      <c r="B1148" s="151"/>
      <c r="C1148" s="152"/>
      <c r="H1148" s="340"/>
      <c r="L1148" s="131"/>
      <c r="M1148" s="131"/>
      <c r="N1148" s="131"/>
      <c r="O1148" s="131"/>
      <c r="P1148" s="131"/>
      <c r="Q1148" s="131"/>
      <c r="R1148" s="131"/>
      <c r="S1148" s="131"/>
      <c r="T1148" s="131"/>
      <c r="U1148" s="131"/>
      <c r="V1148" s="131"/>
      <c r="W1148" s="131"/>
      <c r="X1148" s="131"/>
      <c r="Y1148" s="131"/>
      <c r="Z1148" s="131"/>
      <c r="AA1148" s="131"/>
      <c r="AB1148" s="131"/>
      <c r="AC1148" s="131"/>
    </row>
    <row r="1149" spans="2:29" x14ac:dyDescent="0.2">
      <c r="B1149" s="151"/>
      <c r="C1149" s="152"/>
      <c r="H1149" s="340"/>
      <c r="L1149" s="131"/>
      <c r="M1149" s="131"/>
      <c r="N1149" s="131"/>
      <c r="O1149" s="131"/>
      <c r="P1149" s="131"/>
      <c r="Q1149" s="131"/>
      <c r="R1149" s="131"/>
      <c r="S1149" s="131"/>
      <c r="T1149" s="131"/>
      <c r="U1149" s="131"/>
      <c r="V1149" s="131"/>
      <c r="W1149" s="131"/>
      <c r="X1149" s="131"/>
      <c r="Y1149" s="131"/>
      <c r="Z1149" s="131"/>
      <c r="AA1149" s="131"/>
      <c r="AB1149" s="131"/>
      <c r="AC1149" s="131"/>
    </row>
    <row r="1150" spans="2:29" x14ac:dyDescent="0.2">
      <c r="B1150" s="151"/>
      <c r="C1150" s="152"/>
      <c r="H1150" s="340"/>
      <c r="L1150" s="131"/>
      <c r="M1150" s="131"/>
      <c r="N1150" s="131"/>
      <c r="O1150" s="131"/>
      <c r="P1150" s="131"/>
      <c r="Q1150" s="131"/>
      <c r="R1150" s="131"/>
      <c r="S1150" s="131"/>
      <c r="T1150" s="131"/>
      <c r="U1150" s="131"/>
      <c r="V1150" s="131"/>
      <c r="W1150" s="131"/>
      <c r="X1150" s="131"/>
      <c r="Y1150" s="131"/>
      <c r="Z1150" s="131"/>
      <c r="AA1150" s="131"/>
      <c r="AB1150" s="131"/>
      <c r="AC1150" s="131"/>
    </row>
    <row r="1151" spans="2:29" x14ac:dyDescent="0.2">
      <c r="B1151" s="151"/>
      <c r="C1151" s="152"/>
      <c r="H1151" s="340"/>
      <c r="L1151" s="131"/>
      <c r="M1151" s="131"/>
      <c r="N1151" s="131"/>
      <c r="O1151" s="131"/>
      <c r="P1151" s="131"/>
      <c r="Q1151" s="131"/>
      <c r="R1151" s="131"/>
      <c r="S1151" s="131"/>
      <c r="T1151" s="131"/>
      <c r="U1151" s="131"/>
      <c r="V1151" s="131"/>
      <c r="W1151" s="131"/>
      <c r="X1151" s="131"/>
      <c r="Y1151" s="131"/>
      <c r="Z1151" s="131"/>
      <c r="AA1151" s="131"/>
      <c r="AB1151" s="131"/>
      <c r="AC1151" s="131"/>
    </row>
    <row r="1152" spans="2:29" x14ac:dyDescent="0.2">
      <c r="B1152" s="151"/>
      <c r="C1152" s="152"/>
      <c r="H1152" s="340"/>
      <c r="L1152" s="131"/>
      <c r="M1152" s="131"/>
      <c r="N1152" s="131"/>
      <c r="O1152" s="131"/>
      <c r="P1152" s="131"/>
      <c r="Q1152" s="131"/>
      <c r="R1152" s="131"/>
      <c r="S1152" s="131"/>
      <c r="T1152" s="131"/>
      <c r="U1152" s="131"/>
      <c r="V1152" s="131"/>
      <c r="W1152" s="131"/>
      <c r="X1152" s="131"/>
      <c r="Y1152" s="131"/>
      <c r="Z1152" s="131"/>
      <c r="AA1152" s="131"/>
      <c r="AB1152" s="131"/>
      <c r="AC1152" s="131"/>
    </row>
    <row r="1153" spans="2:29" x14ac:dyDescent="0.2">
      <c r="B1153" s="151"/>
      <c r="C1153" s="152"/>
      <c r="H1153" s="340"/>
      <c r="L1153" s="131"/>
      <c r="M1153" s="131"/>
      <c r="N1153" s="131"/>
      <c r="O1153" s="131"/>
      <c r="P1153" s="131"/>
      <c r="Q1153" s="131"/>
      <c r="R1153" s="131"/>
      <c r="S1153" s="131"/>
      <c r="T1153" s="131"/>
      <c r="U1153" s="131"/>
      <c r="V1153" s="131"/>
      <c r="W1153" s="131"/>
      <c r="X1153" s="131"/>
      <c r="Y1153" s="131"/>
      <c r="Z1153" s="131"/>
      <c r="AA1153" s="131"/>
      <c r="AB1153" s="131"/>
      <c r="AC1153" s="131"/>
    </row>
    <row r="1154" spans="2:29" x14ac:dyDescent="0.2">
      <c r="B1154" s="151"/>
      <c r="C1154" s="152"/>
      <c r="H1154" s="340"/>
      <c r="L1154" s="131"/>
      <c r="M1154" s="131"/>
      <c r="N1154" s="131"/>
      <c r="O1154" s="131"/>
      <c r="P1154" s="131"/>
      <c r="Q1154" s="131"/>
      <c r="R1154" s="131"/>
      <c r="S1154" s="131"/>
      <c r="T1154" s="131"/>
      <c r="U1154" s="131"/>
      <c r="V1154" s="131"/>
      <c r="W1154" s="131"/>
      <c r="X1154" s="131"/>
      <c r="Y1154" s="131"/>
      <c r="Z1154" s="131"/>
      <c r="AA1154" s="131"/>
      <c r="AB1154" s="131"/>
      <c r="AC1154" s="131"/>
    </row>
    <row r="1155" spans="2:29" x14ac:dyDescent="0.2">
      <c r="B1155" s="151"/>
      <c r="C1155" s="152"/>
      <c r="H1155" s="340"/>
      <c r="L1155" s="131"/>
      <c r="M1155" s="131"/>
      <c r="N1155" s="131"/>
      <c r="O1155" s="131"/>
      <c r="P1155" s="131"/>
      <c r="Q1155" s="131"/>
      <c r="R1155" s="131"/>
      <c r="S1155" s="131"/>
      <c r="T1155" s="131"/>
      <c r="U1155" s="131"/>
      <c r="V1155" s="131"/>
      <c r="W1155" s="131"/>
      <c r="X1155" s="131"/>
      <c r="Y1155" s="131"/>
      <c r="Z1155" s="131"/>
      <c r="AA1155" s="131"/>
      <c r="AB1155" s="131"/>
      <c r="AC1155" s="131"/>
    </row>
    <row r="1156" spans="2:29" x14ac:dyDescent="0.2">
      <c r="B1156" s="151"/>
      <c r="C1156" s="152"/>
      <c r="H1156" s="340"/>
      <c r="L1156" s="131"/>
      <c r="M1156" s="131"/>
      <c r="N1156" s="131"/>
      <c r="O1156" s="131"/>
      <c r="P1156" s="131"/>
      <c r="Q1156" s="131"/>
      <c r="R1156" s="131"/>
      <c r="S1156" s="131"/>
      <c r="T1156" s="131"/>
      <c r="U1156" s="131"/>
      <c r="V1156" s="131"/>
      <c r="W1156" s="131"/>
      <c r="X1156" s="131"/>
      <c r="Y1156" s="131"/>
      <c r="Z1156" s="131"/>
      <c r="AA1156" s="131"/>
      <c r="AB1156" s="131"/>
      <c r="AC1156" s="131"/>
    </row>
    <row r="1157" spans="2:29" x14ac:dyDescent="0.2">
      <c r="B1157" s="151"/>
      <c r="C1157" s="152"/>
      <c r="H1157" s="340"/>
      <c r="L1157" s="131"/>
      <c r="M1157" s="131"/>
      <c r="N1157" s="131"/>
      <c r="O1157" s="131"/>
      <c r="P1157" s="131"/>
      <c r="Q1157" s="131"/>
      <c r="R1157" s="131"/>
      <c r="S1157" s="131"/>
      <c r="T1157" s="131"/>
      <c r="U1157" s="131"/>
      <c r="V1157" s="131"/>
      <c r="W1157" s="131"/>
      <c r="X1157" s="131"/>
      <c r="Y1157" s="131"/>
      <c r="Z1157" s="131"/>
      <c r="AA1157" s="131"/>
      <c r="AB1157" s="131"/>
      <c r="AC1157" s="131"/>
    </row>
    <row r="1158" spans="2:29" x14ac:dyDescent="0.2">
      <c r="B1158" s="151"/>
      <c r="C1158" s="152"/>
      <c r="H1158" s="340"/>
      <c r="L1158" s="131"/>
      <c r="M1158" s="131"/>
      <c r="N1158" s="131"/>
      <c r="O1158" s="131"/>
      <c r="P1158" s="131"/>
      <c r="Q1158" s="131"/>
      <c r="R1158" s="131"/>
      <c r="S1158" s="131"/>
      <c r="T1158" s="131"/>
      <c r="U1158" s="131"/>
      <c r="V1158" s="131"/>
      <c r="W1158" s="131"/>
      <c r="X1158" s="131"/>
      <c r="Y1158" s="131"/>
      <c r="Z1158" s="131"/>
      <c r="AA1158" s="131"/>
      <c r="AB1158" s="131"/>
      <c r="AC1158" s="131"/>
    </row>
    <row r="1159" spans="2:29" x14ac:dyDescent="0.2">
      <c r="B1159" s="151"/>
      <c r="C1159" s="152"/>
      <c r="H1159" s="340"/>
      <c r="L1159" s="131"/>
      <c r="M1159" s="131"/>
      <c r="N1159" s="131"/>
      <c r="O1159" s="131"/>
      <c r="P1159" s="131"/>
      <c r="Q1159" s="131"/>
      <c r="R1159" s="131"/>
      <c r="S1159" s="131"/>
      <c r="T1159" s="131"/>
      <c r="U1159" s="131"/>
      <c r="V1159" s="131"/>
      <c r="W1159" s="131"/>
      <c r="X1159" s="131"/>
      <c r="Y1159" s="131"/>
      <c r="Z1159" s="131"/>
      <c r="AA1159" s="131"/>
      <c r="AB1159" s="131"/>
      <c r="AC1159" s="131"/>
    </row>
    <row r="1160" spans="2:29" x14ac:dyDescent="0.2">
      <c r="B1160" s="151"/>
      <c r="C1160" s="152"/>
      <c r="H1160" s="340"/>
      <c r="L1160" s="131"/>
      <c r="M1160" s="131"/>
      <c r="N1160" s="131"/>
      <c r="O1160" s="131"/>
      <c r="P1160" s="131"/>
      <c r="Q1160" s="131"/>
      <c r="R1160" s="131"/>
      <c r="S1160" s="131"/>
      <c r="T1160" s="131"/>
      <c r="U1160" s="131"/>
      <c r="V1160" s="131"/>
      <c r="W1160" s="131"/>
      <c r="X1160" s="131"/>
      <c r="Y1160" s="131"/>
      <c r="Z1160" s="131"/>
      <c r="AA1160" s="131"/>
      <c r="AB1160" s="131"/>
      <c r="AC1160" s="131"/>
    </row>
    <row r="1161" spans="2:29" x14ac:dyDescent="0.2">
      <c r="B1161" s="151"/>
      <c r="C1161" s="152"/>
      <c r="H1161" s="340"/>
      <c r="L1161" s="131"/>
      <c r="M1161" s="131"/>
      <c r="N1161" s="131"/>
      <c r="O1161" s="131"/>
      <c r="P1161" s="131"/>
      <c r="Q1161" s="131"/>
      <c r="R1161" s="131"/>
      <c r="S1161" s="131"/>
      <c r="T1161" s="131"/>
      <c r="U1161" s="131"/>
      <c r="V1161" s="131"/>
      <c r="W1161" s="131"/>
      <c r="X1161" s="131"/>
      <c r="Y1161" s="131"/>
      <c r="Z1161" s="131"/>
      <c r="AA1161" s="131"/>
      <c r="AB1161" s="131"/>
      <c r="AC1161" s="131"/>
    </row>
    <row r="1162" spans="2:29" x14ac:dyDescent="0.2">
      <c r="B1162" s="151"/>
      <c r="C1162" s="152"/>
      <c r="H1162" s="340"/>
      <c r="L1162" s="131"/>
      <c r="M1162" s="131"/>
      <c r="N1162" s="131"/>
      <c r="O1162" s="131"/>
      <c r="P1162" s="131"/>
      <c r="Q1162" s="131"/>
      <c r="R1162" s="131"/>
      <c r="S1162" s="131"/>
      <c r="T1162" s="131"/>
      <c r="U1162" s="131"/>
      <c r="V1162" s="131"/>
      <c r="W1162" s="131"/>
      <c r="X1162" s="131"/>
      <c r="Y1162" s="131"/>
      <c r="Z1162" s="131"/>
      <c r="AA1162" s="131"/>
      <c r="AB1162" s="131"/>
      <c r="AC1162" s="131"/>
    </row>
    <row r="1163" spans="2:29" x14ac:dyDescent="0.2">
      <c r="B1163" s="151"/>
      <c r="C1163" s="152"/>
      <c r="H1163" s="340"/>
      <c r="L1163" s="131"/>
      <c r="M1163" s="131"/>
      <c r="N1163" s="131"/>
      <c r="O1163" s="131"/>
      <c r="P1163" s="131"/>
      <c r="Q1163" s="131"/>
      <c r="R1163" s="131"/>
      <c r="S1163" s="131"/>
      <c r="T1163" s="131"/>
      <c r="U1163" s="131"/>
      <c r="V1163" s="131"/>
      <c r="W1163" s="131"/>
      <c r="X1163" s="131"/>
      <c r="Y1163" s="131"/>
      <c r="Z1163" s="131"/>
      <c r="AA1163" s="131"/>
      <c r="AB1163" s="131"/>
      <c r="AC1163" s="131"/>
    </row>
    <row r="1164" spans="2:29" x14ac:dyDescent="0.2">
      <c r="B1164" s="151"/>
      <c r="C1164" s="152"/>
      <c r="H1164" s="340"/>
      <c r="L1164" s="131"/>
      <c r="M1164" s="131"/>
      <c r="N1164" s="131"/>
      <c r="O1164" s="131"/>
      <c r="P1164" s="131"/>
      <c r="Q1164" s="131"/>
      <c r="R1164" s="131"/>
      <c r="S1164" s="131"/>
      <c r="T1164" s="131"/>
      <c r="U1164" s="131"/>
      <c r="V1164" s="131"/>
      <c r="W1164" s="131"/>
      <c r="X1164" s="131"/>
      <c r="Y1164" s="131"/>
      <c r="Z1164" s="131"/>
      <c r="AA1164" s="131"/>
      <c r="AB1164" s="131"/>
      <c r="AC1164" s="131"/>
    </row>
    <row r="1165" spans="2:29" x14ac:dyDescent="0.2">
      <c r="B1165" s="151"/>
      <c r="C1165" s="152"/>
      <c r="H1165" s="340"/>
      <c r="L1165" s="131"/>
      <c r="M1165" s="131"/>
      <c r="N1165" s="131"/>
      <c r="O1165" s="131"/>
      <c r="P1165" s="131"/>
      <c r="Q1165" s="131"/>
      <c r="R1165" s="131"/>
      <c r="S1165" s="131"/>
      <c r="T1165" s="131"/>
      <c r="U1165" s="131"/>
      <c r="V1165" s="131"/>
      <c r="W1165" s="131"/>
      <c r="X1165" s="131"/>
      <c r="Y1165" s="131"/>
      <c r="Z1165" s="131"/>
      <c r="AA1165" s="131"/>
      <c r="AB1165" s="131"/>
      <c r="AC1165" s="131"/>
    </row>
    <row r="1166" spans="2:29" x14ac:dyDescent="0.2">
      <c r="B1166" s="151"/>
      <c r="C1166" s="152"/>
      <c r="H1166" s="340"/>
      <c r="L1166" s="131"/>
      <c r="M1166" s="131"/>
      <c r="N1166" s="131"/>
      <c r="O1166" s="131"/>
      <c r="P1166" s="131"/>
      <c r="Q1166" s="131"/>
      <c r="R1166" s="131"/>
      <c r="S1166" s="131"/>
      <c r="T1166" s="131"/>
      <c r="U1166" s="131"/>
      <c r="V1166" s="131"/>
      <c r="W1166" s="131"/>
      <c r="X1166" s="131"/>
      <c r="Y1166" s="131"/>
      <c r="Z1166" s="131"/>
      <c r="AA1166" s="131"/>
      <c r="AB1166" s="131"/>
      <c r="AC1166" s="131"/>
    </row>
    <row r="1167" spans="2:29" x14ac:dyDescent="0.2">
      <c r="B1167" s="151"/>
      <c r="C1167" s="152"/>
      <c r="H1167" s="340"/>
      <c r="L1167" s="131"/>
      <c r="M1167" s="131"/>
      <c r="N1167" s="131"/>
      <c r="O1167" s="131"/>
      <c r="P1167" s="131"/>
      <c r="Q1167" s="131"/>
      <c r="R1167" s="131"/>
      <c r="S1167" s="131"/>
      <c r="T1167" s="131"/>
      <c r="U1167" s="131"/>
      <c r="V1167" s="131"/>
      <c r="W1167" s="131"/>
      <c r="X1167" s="131"/>
      <c r="Y1167" s="131"/>
      <c r="Z1167" s="131"/>
      <c r="AA1167" s="131"/>
      <c r="AB1167" s="131"/>
      <c r="AC1167" s="131"/>
    </row>
    <row r="1168" spans="2:29" x14ac:dyDescent="0.2">
      <c r="B1168" s="151"/>
      <c r="C1168" s="152"/>
      <c r="H1168" s="340"/>
      <c r="L1168" s="131"/>
      <c r="M1168" s="131"/>
      <c r="N1168" s="131"/>
      <c r="O1168" s="131"/>
      <c r="P1168" s="131"/>
      <c r="Q1168" s="131"/>
      <c r="R1168" s="131"/>
      <c r="S1168" s="131"/>
      <c r="T1168" s="131"/>
      <c r="U1168" s="131"/>
      <c r="V1168" s="131"/>
      <c r="W1168" s="131"/>
      <c r="X1168" s="131"/>
      <c r="Y1168" s="131"/>
      <c r="Z1168" s="131"/>
      <c r="AA1168" s="131"/>
      <c r="AB1168" s="131"/>
      <c r="AC1168" s="131"/>
    </row>
    <row r="1169" spans="2:29" x14ac:dyDescent="0.2">
      <c r="B1169" s="151"/>
      <c r="C1169" s="152"/>
      <c r="H1169" s="340"/>
      <c r="L1169" s="131"/>
      <c r="M1169" s="131"/>
      <c r="N1169" s="131"/>
      <c r="O1169" s="131"/>
      <c r="P1169" s="131"/>
      <c r="Q1169" s="131"/>
      <c r="R1169" s="131"/>
      <c r="S1169" s="131"/>
      <c r="T1169" s="131"/>
      <c r="U1169" s="131"/>
      <c r="V1169" s="131"/>
      <c r="W1169" s="131"/>
      <c r="X1169" s="131"/>
      <c r="Y1169" s="131"/>
      <c r="Z1169" s="131"/>
      <c r="AA1169" s="131"/>
      <c r="AB1169" s="131"/>
      <c r="AC1169" s="131"/>
    </row>
    <row r="1170" spans="2:29" x14ac:dyDescent="0.2">
      <c r="B1170" s="151"/>
      <c r="C1170" s="152"/>
      <c r="H1170" s="340"/>
      <c r="L1170" s="131"/>
      <c r="M1170" s="131"/>
      <c r="N1170" s="131"/>
      <c r="O1170" s="131"/>
      <c r="P1170" s="131"/>
      <c r="Q1170" s="131"/>
      <c r="R1170" s="131"/>
      <c r="S1170" s="131"/>
      <c r="T1170" s="131"/>
      <c r="U1170" s="131"/>
      <c r="V1170" s="131"/>
      <c r="W1170" s="131"/>
      <c r="X1170" s="131"/>
      <c r="Y1170" s="131"/>
      <c r="Z1170" s="131"/>
      <c r="AA1170" s="131"/>
      <c r="AB1170" s="131"/>
      <c r="AC1170" s="131"/>
    </row>
    <row r="1171" spans="2:29" x14ac:dyDescent="0.2">
      <c r="B1171" s="151"/>
      <c r="C1171" s="152"/>
      <c r="H1171" s="340"/>
      <c r="L1171" s="131"/>
      <c r="M1171" s="131"/>
      <c r="N1171" s="131"/>
      <c r="O1171" s="131"/>
      <c r="P1171" s="131"/>
      <c r="Q1171" s="131"/>
      <c r="R1171" s="131"/>
      <c r="S1171" s="131"/>
      <c r="T1171" s="131"/>
      <c r="U1171" s="131"/>
      <c r="V1171" s="131"/>
      <c r="W1171" s="131"/>
      <c r="X1171" s="131"/>
      <c r="Y1171" s="131"/>
      <c r="Z1171" s="131"/>
      <c r="AA1171" s="131"/>
      <c r="AB1171" s="131"/>
      <c r="AC1171" s="131"/>
    </row>
    <row r="1172" spans="2:29" x14ac:dyDescent="0.2">
      <c r="B1172" s="151"/>
      <c r="C1172" s="152"/>
      <c r="H1172" s="340"/>
      <c r="L1172" s="131"/>
      <c r="M1172" s="131"/>
      <c r="N1172" s="131"/>
      <c r="O1172" s="131"/>
      <c r="P1172" s="131"/>
      <c r="Q1172" s="131"/>
      <c r="R1172" s="131"/>
      <c r="S1172" s="131"/>
      <c r="T1172" s="131"/>
      <c r="U1172" s="131"/>
      <c r="V1172" s="131"/>
      <c r="W1172" s="131"/>
      <c r="X1172" s="131"/>
      <c r="Y1172" s="131"/>
      <c r="Z1172" s="131"/>
      <c r="AA1172" s="131"/>
      <c r="AB1172" s="131"/>
      <c r="AC1172" s="131"/>
    </row>
    <row r="1173" spans="2:29" x14ac:dyDescent="0.2">
      <c r="B1173" s="151"/>
      <c r="C1173" s="152"/>
      <c r="H1173" s="340"/>
      <c r="L1173" s="131"/>
      <c r="M1173" s="131"/>
      <c r="N1173" s="131"/>
      <c r="O1173" s="131"/>
      <c r="P1173" s="131"/>
      <c r="Q1173" s="131"/>
      <c r="R1173" s="131"/>
      <c r="S1173" s="131"/>
      <c r="T1173" s="131"/>
      <c r="U1173" s="131"/>
      <c r="V1173" s="131"/>
      <c r="W1173" s="131"/>
      <c r="X1173" s="131"/>
      <c r="Y1173" s="131"/>
      <c r="Z1173" s="131"/>
      <c r="AA1173" s="131"/>
      <c r="AB1173" s="131"/>
      <c r="AC1173" s="131"/>
    </row>
    <row r="1174" spans="2:29" x14ac:dyDescent="0.2">
      <c r="B1174" s="151"/>
      <c r="C1174" s="152"/>
      <c r="H1174" s="340"/>
      <c r="L1174" s="131"/>
      <c r="M1174" s="131"/>
      <c r="N1174" s="131"/>
      <c r="O1174" s="131"/>
      <c r="P1174" s="131"/>
      <c r="Q1174" s="131"/>
      <c r="R1174" s="131"/>
      <c r="S1174" s="131"/>
      <c r="T1174" s="131"/>
      <c r="U1174" s="131"/>
      <c r="V1174" s="131"/>
      <c r="W1174" s="131"/>
      <c r="X1174" s="131"/>
      <c r="Y1174" s="131"/>
      <c r="Z1174" s="131"/>
      <c r="AA1174" s="131"/>
      <c r="AB1174" s="131"/>
      <c r="AC1174" s="131"/>
    </row>
    <row r="1175" spans="2:29" x14ac:dyDescent="0.2">
      <c r="B1175" s="151"/>
      <c r="C1175" s="152"/>
      <c r="H1175" s="340"/>
      <c r="L1175" s="131"/>
      <c r="M1175" s="131"/>
      <c r="N1175" s="131"/>
      <c r="O1175" s="131"/>
      <c r="P1175" s="131"/>
      <c r="Q1175" s="131"/>
      <c r="R1175" s="131"/>
      <c r="S1175" s="131"/>
      <c r="T1175" s="131"/>
      <c r="U1175" s="131"/>
      <c r="V1175" s="131"/>
      <c r="W1175" s="131"/>
      <c r="X1175" s="131"/>
      <c r="Y1175" s="131"/>
      <c r="Z1175" s="131"/>
      <c r="AA1175" s="131"/>
      <c r="AB1175" s="131"/>
      <c r="AC1175" s="131"/>
    </row>
    <row r="1176" spans="2:29" x14ac:dyDescent="0.2">
      <c r="B1176" s="151"/>
      <c r="C1176" s="152"/>
      <c r="H1176" s="340"/>
      <c r="L1176" s="131"/>
      <c r="M1176" s="131"/>
      <c r="N1176" s="131"/>
      <c r="O1176" s="131"/>
      <c r="P1176" s="131"/>
      <c r="Q1176" s="131"/>
      <c r="R1176" s="131"/>
      <c r="S1176" s="131"/>
      <c r="T1176" s="131"/>
      <c r="U1176" s="131"/>
      <c r="V1176" s="131"/>
      <c r="W1176" s="131"/>
      <c r="X1176" s="131"/>
      <c r="Y1176" s="131"/>
      <c r="Z1176" s="131"/>
      <c r="AA1176" s="131"/>
      <c r="AB1176" s="131"/>
      <c r="AC1176" s="131"/>
    </row>
    <row r="1177" spans="2:29" x14ac:dyDescent="0.2">
      <c r="B1177" s="151"/>
      <c r="C1177" s="152"/>
      <c r="H1177" s="340"/>
      <c r="L1177" s="131"/>
      <c r="M1177" s="131"/>
      <c r="N1177" s="131"/>
      <c r="O1177" s="131"/>
      <c r="P1177" s="131"/>
      <c r="Q1177" s="131"/>
      <c r="R1177" s="131"/>
      <c r="S1177" s="131"/>
      <c r="T1177" s="131"/>
      <c r="U1177" s="131"/>
      <c r="V1177" s="131"/>
      <c r="W1177" s="131"/>
      <c r="X1177" s="131"/>
      <c r="Y1177" s="131"/>
      <c r="Z1177" s="131"/>
      <c r="AA1177" s="131"/>
      <c r="AB1177" s="131"/>
      <c r="AC1177" s="131"/>
    </row>
    <row r="1178" spans="2:29" x14ac:dyDescent="0.2">
      <c r="B1178" s="151"/>
      <c r="C1178" s="152"/>
      <c r="H1178" s="340"/>
      <c r="L1178" s="131"/>
      <c r="M1178" s="131"/>
      <c r="N1178" s="131"/>
      <c r="O1178" s="131"/>
      <c r="P1178" s="131"/>
      <c r="Q1178" s="131"/>
      <c r="R1178" s="131"/>
      <c r="S1178" s="131"/>
      <c r="T1178" s="131"/>
      <c r="U1178" s="131"/>
      <c r="V1178" s="131"/>
      <c r="W1178" s="131"/>
      <c r="X1178" s="131"/>
      <c r="Y1178" s="131"/>
      <c r="Z1178" s="131"/>
      <c r="AA1178" s="131"/>
      <c r="AB1178" s="131"/>
      <c r="AC1178" s="131"/>
    </row>
    <row r="1179" spans="2:29" x14ac:dyDescent="0.2">
      <c r="B1179" s="151"/>
      <c r="C1179" s="152"/>
      <c r="H1179" s="340"/>
      <c r="L1179" s="131"/>
      <c r="M1179" s="131"/>
      <c r="N1179" s="131"/>
      <c r="O1179" s="131"/>
      <c r="P1179" s="131"/>
      <c r="Q1179" s="131"/>
      <c r="R1179" s="131"/>
      <c r="S1179" s="131"/>
      <c r="T1179" s="131"/>
      <c r="U1179" s="131"/>
      <c r="V1179" s="131"/>
      <c r="W1179" s="131"/>
      <c r="X1179" s="131"/>
      <c r="Y1179" s="131"/>
      <c r="Z1179" s="131"/>
      <c r="AA1179" s="131"/>
      <c r="AB1179" s="131"/>
      <c r="AC1179" s="131"/>
    </row>
    <row r="1180" spans="2:29" x14ac:dyDescent="0.2">
      <c r="B1180" s="151"/>
      <c r="C1180" s="152"/>
      <c r="H1180" s="340"/>
      <c r="L1180" s="131"/>
      <c r="M1180" s="131"/>
      <c r="N1180" s="131"/>
      <c r="O1180" s="131"/>
      <c r="P1180" s="131"/>
      <c r="Q1180" s="131"/>
      <c r="R1180" s="131"/>
      <c r="S1180" s="131"/>
      <c r="T1180" s="131"/>
      <c r="U1180" s="131"/>
      <c r="V1180" s="131"/>
      <c r="W1180" s="131"/>
      <c r="X1180" s="131"/>
      <c r="Y1180" s="131"/>
      <c r="Z1180" s="131"/>
      <c r="AA1180" s="131"/>
      <c r="AB1180" s="131"/>
      <c r="AC1180" s="131"/>
    </row>
    <row r="1181" spans="2:29" x14ac:dyDescent="0.2">
      <c r="B1181" s="151"/>
      <c r="C1181" s="152"/>
      <c r="H1181" s="340"/>
      <c r="L1181" s="131"/>
      <c r="M1181" s="131"/>
      <c r="N1181" s="131"/>
      <c r="O1181" s="131"/>
      <c r="P1181" s="131"/>
      <c r="Q1181" s="131"/>
      <c r="R1181" s="131"/>
      <c r="S1181" s="131"/>
      <c r="T1181" s="131"/>
      <c r="U1181" s="131"/>
      <c r="V1181" s="131"/>
      <c r="W1181" s="131"/>
      <c r="X1181" s="131"/>
      <c r="Y1181" s="131"/>
      <c r="Z1181" s="131"/>
      <c r="AA1181" s="131"/>
      <c r="AB1181" s="131"/>
      <c r="AC1181" s="131"/>
    </row>
    <row r="1182" spans="2:29" x14ac:dyDescent="0.2">
      <c r="B1182" s="151"/>
      <c r="C1182" s="152"/>
      <c r="H1182" s="340"/>
      <c r="L1182" s="131"/>
      <c r="M1182" s="131"/>
      <c r="N1182" s="131"/>
      <c r="O1182" s="131"/>
      <c r="P1182" s="131"/>
      <c r="Q1182" s="131"/>
      <c r="R1182" s="131"/>
      <c r="S1182" s="131"/>
      <c r="T1182" s="131"/>
      <c r="U1182" s="131"/>
      <c r="V1182" s="131"/>
      <c r="W1182" s="131"/>
      <c r="X1182" s="131"/>
      <c r="Y1182" s="131"/>
      <c r="Z1182" s="131"/>
      <c r="AA1182" s="131"/>
      <c r="AB1182" s="131"/>
      <c r="AC1182" s="131"/>
    </row>
    <row r="1183" spans="2:29" x14ac:dyDescent="0.2">
      <c r="B1183" s="151"/>
      <c r="C1183" s="152"/>
      <c r="H1183" s="340"/>
      <c r="L1183" s="131"/>
      <c r="M1183" s="131"/>
      <c r="N1183" s="131"/>
      <c r="O1183" s="131"/>
      <c r="P1183" s="131"/>
      <c r="Q1183" s="131"/>
      <c r="R1183" s="131"/>
      <c r="S1183" s="131"/>
      <c r="T1183" s="131"/>
      <c r="U1183" s="131"/>
      <c r="V1183" s="131"/>
      <c r="W1183" s="131"/>
      <c r="X1183" s="131"/>
      <c r="Y1183" s="131"/>
      <c r="Z1183" s="131"/>
      <c r="AA1183" s="131"/>
      <c r="AB1183" s="131"/>
      <c r="AC1183" s="131"/>
    </row>
    <row r="1184" spans="2:29" x14ac:dyDescent="0.2">
      <c r="B1184" s="151"/>
      <c r="C1184" s="152"/>
      <c r="H1184" s="340"/>
      <c r="L1184" s="131"/>
      <c r="M1184" s="131"/>
      <c r="N1184" s="131"/>
      <c r="O1184" s="131"/>
      <c r="P1184" s="131"/>
      <c r="Q1184" s="131"/>
      <c r="R1184" s="131"/>
      <c r="S1184" s="131"/>
      <c r="T1184" s="131"/>
      <c r="U1184" s="131"/>
      <c r="V1184" s="131"/>
      <c r="W1184" s="131"/>
      <c r="X1184" s="131"/>
      <c r="Y1184" s="131"/>
      <c r="Z1184" s="131"/>
      <c r="AA1184" s="131"/>
      <c r="AB1184" s="131"/>
      <c r="AC1184" s="131"/>
    </row>
    <row r="1185" spans="2:29" x14ac:dyDescent="0.2">
      <c r="B1185" s="151"/>
      <c r="C1185" s="152"/>
      <c r="H1185" s="340"/>
      <c r="L1185" s="131"/>
      <c r="M1185" s="131"/>
      <c r="N1185" s="131"/>
      <c r="O1185" s="131"/>
      <c r="P1185" s="131"/>
      <c r="Q1185" s="131"/>
      <c r="R1185" s="131"/>
      <c r="S1185" s="131"/>
      <c r="T1185" s="131"/>
      <c r="U1185" s="131"/>
      <c r="V1185" s="131"/>
      <c r="W1185" s="131"/>
      <c r="X1185" s="131"/>
      <c r="Y1185" s="131"/>
      <c r="Z1185" s="131"/>
      <c r="AA1185" s="131"/>
      <c r="AB1185" s="131"/>
      <c r="AC1185" s="131"/>
    </row>
    <row r="1186" spans="2:29" x14ac:dyDescent="0.2">
      <c r="B1186" s="151"/>
      <c r="C1186" s="152"/>
      <c r="H1186" s="340"/>
      <c r="L1186" s="131"/>
      <c r="M1186" s="131"/>
      <c r="N1186" s="131"/>
      <c r="O1186" s="131"/>
      <c r="P1186" s="131"/>
      <c r="Q1186" s="131"/>
      <c r="R1186" s="131"/>
      <c r="S1186" s="131"/>
      <c r="T1186" s="131"/>
      <c r="U1186" s="131"/>
      <c r="V1186" s="131"/>
      <c r="W1186" s="131"/>
      <c r="X1186" s="131"/>
      <c r="Y1186" s="131"/>
      <c r="Z1186" s="131"/>
      <c r="AA1186" s="131"/>
      <c r="AB1186" s="131"/>
      <c r="AC1186" s="131"/>
    </row>
    <row r="1187" spans="2:29" x14ac:dyDescent="0.2">
      <c r="B1187" s="151"/>
      <c r="C1187" s="152"/>
      <c r="H1187" s="340"/>
      <c r="L1187" s="131"/>
      <c r="M1187" s="131"/>
      <c r="N1187" s="131"/>
      <c r="O1187" s="131"/>
      <c r="P1187" s="131"/>
      <c r="Q1187" s="131"/>
      <c r="R1187" s="131"/>
      <c r="S1187" s="131"/>
      <c r="T1187" s="131"/>
      <c r="U1187" s="131"/>
      <c r="V1187" s="131"/>
      <c r="W1187" s="131"/>
      <c r="X1187" s="131"/>
      <c r="Y1187" s="131"/>
      <c r="Z1187" s="131"/>
      <c r="AA1187" s="131"/>
      <c r="AB1187" s="131"/>
      <c r="AC1187" s="131"/>
    </row>
    <row r="1188" spans="2:29" x14ac:dyDescent="0.2">
      <c r="B1188" s="151"/>
      <c r="C1188" s="152"/>
      <c r="H1188" s="340"/>
      <c r="L1188" s="131"/>
      <c r="M1188" s="131"/>
      <c r="N1188" s="131"/>
      <c r="O1188" s="131"/>
      <c r="P1188" s="131"/>
      <c r="Q1188" s="131"/>
      <c r="R1188" s="131"/>
      <c r="S1188" s="131"/>
      <c r="T1188" s="131"/>
      <c r="U1188" s="131"/>
      <c r="V1188" s="131"/>
      <c r="W1188" s="131"/>
      <c r="X1188" s="131"/>
      <c r="Y1188" s="131"/>
      <c r="Z1188" s="131"/>
      <c r="AA1188" s="131"/>
      <c r="AB1188" s="131"/>
      <c r="AC1188" s="131"/>
    </row>
    <row r="1189" spans="2:29" x14ac:dyDescent="0.2">
      <c r="B1189" s="151"/>
      <c r="C1189" s="152"/>
      <c r="H1189" s="340"/>
      <c r="L1189" s="131"/>
      <c r="M1189" s="131"/>
      <c r="N1189" s="131"/>
      <c r="O1189" s="131"/>
      <c r="P1189" s="131"/>
      <c r="Q1189" s="131"/>
      <c r="R1189" s="131"/>
      <c r="S1189" s="131"/>
      <c r="T1189" s="131"/>
      <c r="U1189" s="131"/>
      <c r="V1189" s="131"/>
      <c r="W1189" s="131"/>
      <c r="X1189" s="131"/>
      <c r="Y1189" s="131"/>
      <c r="Z1189" s="131"/>
      <c r="AA1189" s="131"/>
      <c r="AB1189" s="131"/>
      <c r="AC1189" s="131"/>
    </row>
    <row r="1190" spans="2:29" x14ac:dyDescent="0.2">
      <c r="B1190" s="151"/>
      <c r="C1190" s="152"/>
      <c r="H1190" s="340"/>
      <c r="L1190" s="131"/>
      <c r="M1190" s="131"/>
      <c r="N1190" s="131"/>
      <c r="O1190" s="131"/>
      <c r="P1190" s="131"/>
      <c r="Q1190" s="131"/>
      <c r="R1190" s="131"/>
      <c r="S1190" s="131"/>
      <c r="T1190" s="131"/>
      <c r="U1190" s="131"/>
      <c r="V1190" s="131"/>
      <c r="W1190" s="131"/>
      <c r="X1190" s="131"/>
      <c r="Y1190" s="131"/>
      <c r="Z1190" s="131"/>
      <c r="AA1190" s="131"/>
      <c r="AB1190" s="131"/>
      <c r="AC1190" s="131"/>
    </row>
    <row r="1191" spans="2:29" x14ac:dyDescent="0.2">
      <c r="B1191" s="151"/>
      <c r="C1191" s="152"/>
      <c r="H1191" s="340"/>
      <c r="L1191" s="131"/>
      <c r="M1191" s="131"/>
      <c r="N1191" s="131"/>
      <c r="O1191" s="131"/>
      <c r="P1191" s="131"/>
      <c r="Q1191" s="131"/>
      <c r="R1191" s="131"/>
      <c r="S1191" s="131"/>
      <c r="T1191" s="131"/>
      <c r="U1191" s="131"/>
      <c r="V1191" s="131"/>
      <c r="W1191" s="131"/>
      <c r="X1191" s="131"/>
      <c r="Y1191" s="131"/>
      <c r="Z1191" s="131"/>
      <c r="AA1191" s="131"/>
      <c r="AB1191" s="131"/>
      <c r="AC1191" s="131"/>
    </row>
    <row r="1192" spans="2:29" x14ac:dyDescent="0.2">
      <c r="B1192" s="151"/>
      <c r="C1192" s="152"/>
      <c r="H1192" s="340"/>
      <c r="L1192" s="131"/>
      <c r="M1192" s="131"/>
      <c r="N1192" s="131"/>
      <c r="O1192" s="131"/>
      <c r="P1192" s="131"/>
      <c r="Q1192" s="131"/>
      <c r="R1192" s="131"/>
      <c r="S1192" s="131"/>
      <c r="T1192" s="131"/>
      <c r="U1192" s="131"/>
      <c r="V1192" s="131"/>
      <c r="W1192" s="131"/>
      <c r="X1192" s="131"/>
      <c r="Y1192" s="131"/>
      <c r="Z1192" s="131"/>
      <c r="AA1192" s="131"/>
      <c r="AB1192" s="131"/>
      <c r="AC1192" s="131"/>
    </row>
    <row r="1193" spans="2:29" x14ac:dyDescent="0.2">
      <c r="B1193" s="151"/>
      <c r="C1193" s="152"/>
      <c r="H1193" s="340"/>
      <c r="L1193" s="131"/>
      <c r="M1193" s="131"/>
      <c r="N1193" s="131"/>
      <c r="O1193" s="131"/>
      <c r="P1193" s="131"/>
      <c r="Q1193" s="131"/>
      <c r="R1193" s="131"/>
      <c r="S1193" s="131"/>
      <c r="T1193" s="131"/>
      <c r="U1193" s="131"/>
      <c r="V1193" s="131"/>
      <c r="W1193" s="131"/>
      <c r="X1193" s="131"/>
      <c r="Y1193" s="131"/>
      <c r="Z1193" s="131"/>
      <c r="AA1193" s="131"/>
      <c r="AB1193" s="131"/>
      <c r="AC1193" s="131"/>
    </row>
    <row r="1194" spans="2:29" x14ac:dyDescent="0.2">
      <c r="B1194" s="151"/>
      <c r="C1194" s="152"/>
      <c r="H1194" s="340"/>
      <c r="L1194" s="131"/>
      <c r="M1194" s="131"/>
      <c r="N1194" s="131"/>
      <c r="O1194" s="131"/>
      <c r="P1194" s="131"/>
      <c r="Q1194" s="131"/>
      <c r="R1194" s="131"/>
      <c r="S1194" s="131"/>
      <c r="T1194" s="131"/>
      <c r="U1194" s="131"/>
      <c r="V1194" s="131"/>
      <c r="W1194" s="131"/>
      <c r="X1194" s="131"/>
      <c r="Y1194" s="131"/>
      <c r="Z1194" s="131"/>
      <c r="AA1194" s="131"/>
      <c r="AB1194" s="131"/>
      <c r="AC1194" s="131"/>
    </row>
    <row r="1195" spans="2:29" x14ac:dyDescent="0.2">
      <c r="B1195" s="151"/>
      <c r="C1195" s="152"/>
      <c r="H1195" s="340"/>
      <c r="L1195" s="131"/>
      <c r="M1195" s="131"/>
      <c r="N1195" s="131"/>
      <c r="O1195" s="131"/>
      <c r="P1195" s="131"/>
      <c r="Q1195" s="131"/>
      <c r="R1195" s="131"/>
      <c r="S1195" s="131"/>
      <c r="T1195" s="131"/>
      <c r="U1195" s="131"/>
      <c r="V1195" s="131"/>
      <c r="W1195" s="131"/>
      <c r="X1195" s="131"/>
      <c r="Y1195" s="131"/>
      <c r="Z1195" s="131"/>
      <c r="AA1195" s="131"/>
      <c r="AB1195" s="131"/>
      <c r="AC1195" s="131"/>
    </row>
    <row r="1196" spans="2:29" x14ac:dyDescent="0.2">
      <c r="B1196" s="151"/>
      <c r="C1196" s="152"/>
      <c r="H1196" s="340"/>
      <c r="L1196" s="131"/>
      <c r="M1196" s="131"/>
      <c r="N1196" s="131"/>
      <c r="O1196" s="131"/>
      <c r="P1196" s="131"/>
      <c r="Q1196" s="131"/>
      <c r="R1196" s="131"/>
      <c r="S1196" s="131"/>
      <c r="T1196" s="131"/>
      <c r="U1196" s="131"/>
      <c r="V1196" s="131"/>
      <c r="W1196" s="131"/>
      <c r="X1196" s="131"/>
      <c r="Y1196" s="131"/>
      <c r="Z1196" s="131"/>
      <c r="AA1196" s="131"/>
      <c r="AB1196" s="131"/>
      <c r="AC1196" s="131"/>
    </row>
    <row r="1197" spans="2:29" x14ac:dyDescent="0.2">
      <c r="B1197" s="151"/>
      <c r="C1197" s="152"/>
      <c r="H1197" s="340"/>
      <c r="L1197" s="131"/>
      <c r="M1197" s="131"/>
      <c r="N1197" s="131"/>
      <c r="O1197" s="131"/>
      <c r="P1197" s="131"/>
      <c r="Q1197" s="131"/>
      <c r="R1197" s="131"/>
      <c r="S1197" s="131"/>
      <c r="T1197" s="131"/>
      <c r="U1197" s="131"/>
      <c r="V1197" s="131"/>
      <c r="W1197" s="131"/>
      <c r="X1197" s="131"/>
      <c r="Y1197" s="131"/>
      <c r="Z1197" s="131"/>
      <c r="AA1197" s="131"/>
      <c r="AB1197" s="131"/>
      <c r="AC1197" s="131"/>
    </row>
    <row r="1198" spans="2:29" x14ac:dyDescent="0.2">
      <c r="B1198" s="151"/>
      <c r="C1198" s="152"/>
      <c r="H1198" s="340"/>
      <c r="L1198" s="131"/>
      <c r="M1198" s="131"/>
      <c r="N1198" s="131"/>
      <c r="O1198" s="131"/>
      <c r="P1198" s="131"/>
      <c r="Q1198" s="131"/>
      <c r="R1198" s="131"/>
      <c r="S1198" s="131"/>
      <c r="T1198" s="131"/>
      <c r="U1198" s="131"/>
      <c r="V1198" s="131"/>
      <c r="W1198" s="131"/>
      <c r="X1198" s="131"/>
      <c r="Y1198" s="131"/>
      <c r="Z1198" s="131"/>
      <c r="AA1198" s="131"/>
      <c r="AB1198" s="131"/>
      <c r="AC1198" s="131"/>
    </row>
    <row r="1199" spans="2:29" x14ac:dyDescent="0.2">
      <c r="B1199" s="151"/>
      <c r="C1199" s="152"/>
      <c r="H1199" s="340"/>
      <c r="L1199" s="131"/>
      <c r="M1199" s="131"/>
      <c r="N1199" s="131"/>
      <c r="O1199" s="131"/>
      <c r="P1199" s="131"/>
      <c r="Q1199" s="131"/>
      <c r="R1199" s="131"/>
      <c r="S1199" s="131"/>
      <c r="T1199" s="131"/>
      <c r="U1199" s="131"/>
      <c r="V1199" s="131"/>
      <c r="W1199" s="131"/>
      <c r="X1199" s="131"/>
      <c r="Y1199" s="131"/>
      <c r="Z1199" s="131"/>
      <c r="AA1199" s="131"/>
      <c r="AB1199" s="131"/>
      <c r="AC1199" s="131"/>
    </row>
    <row r="1200" spans="2:29" x14ac:dyDescent="0.2">
      <c r="B1200" s="151"/>
      <c r="C1200" s="152"/>
      <c r="H1200" s="340"/>
      <c r="L1200" s="131"/>
      <c r="M1200" s="131"/>
      <c r="N1200" s="131"/>
      <c r="O1200" s="131"/>
      <c r="P1200" s="131"/>
      <c r="Q1200" s="131"/>
      <c r="R1200" s="131"/>
      <c r="S1200" s="131"/>
      <c r="T1200" s="131"/>
      <c r="U1200" s="131"/>
      <c r="V1200" s="131"/>
      <c r="W1200" s="131"/>
      <c r="X1200" s="131"/>
      <c r="Y1200" s="131"/>
      <c r="Z1200" s="131"/>
      <c r="AA1200" s="131"/>
      <c r="AB1200" s="131"/>
      <c r="AC1200" s="131"/>
    </row>
    <row r="1201" spans="2:29" x14ac:dyDescent="0.2">
      <c r="B1201" s="151"/>
      <c r="C1201" s="152"/>
      <c r="H1201" s="340"/>
      <c r="L1201" s="131"/>
      <c r="M1201" s="131"/>
      <c r="N1201" s="131"/>
      <c r="O1201" s="131"/>
      <c r="P1201" s="131"/>
      <c r="Q1201" s="131"/>
      <c r="R1201" s="131"/>
      <c r="S1201" s="131"/>
      <c r="T1201" s="131"/>
      <c r="U1201" s="131"/>
      <c r="V1201" s="131"/>
      <c r="W1201" s="131"/>
      <c r="X1201" s="131"/>
      <c r="Y1201" s="131"/>
      <c r="Z1201" s="131"/>
      <c r="AA1201" s="131"/>
      <c r="AB1201" s="131"/>
      <c r="AC1201" s="131"/>
    </row>
    <row r="1202" spans="2:29" x14ac:dyDescent="0.2">
      <c r="B1202" s="151"/>
      <c r="C1202" s="152"/>
      <c r="H1202" s="340"/>
      <c r="L1202" s="131"/>
      <c r="M1202" s="131"/>
      <c r="N1202" s="131"/>
      <c r="O1202" s="131"/>
      <c r="P1202" s="131"/>
      <c r="Q1202" s="131"/>
      <c r="R1202" s="131"/>
      <c r="S1202" s="131"/>
      <c r="T1202" s="131"/>
      <c r="U1202" s="131"/>
      <c r="V1202" s="131"/>
      <c r="W1202" s="131"/>
      <c r="X1202" s="131"/>
      <c r="Y1202" s="131"/>
      <c r="Z1202" s="131"/>
      <c r="AA1202" s="131"/>
      <c r="AB1202" s="131"/>
      <c r="AC1202" s="131"/>
    </row>
    <row r="1203" spans="2:29" x14ac:dyDescent="0.2">
      <c r="B1203" s="151"/>
      <c r="C1203" s="152"/>
      <c r="H1203" s="340"/>
      <c r="L1203" s="131"/>
      <c r="M1203" s="131"/>
      <c r="N1203" s="131"/>
      <c r="O1203" s="131"/>
      <c r="P1203" s="131"/>
      <c r="Q1203" s="131"/>
      <c r="R1203" s="131"/>
      <c r="S1203" s="131"/>
      <c r="T1203" s="131"/>
      <c r="U1203" s="131"/>
      <c r="V1203" s="131"/>
      <c r="W1203" s="131"/>
      <c r="X1203" s="131"/>
      <c r="Y1203" s="131"/>
      <c r="Z1203" s="131"/>
      <c r="AA1203" s="131"/>
      <c r="AB1203" s="131"/>
      <c r="AC1203" s="131"/>
    </row>
    <row r="1204" spans="2:29" x14ac:dyDescent="0.2">
      <c r="B1204" s="151"/>
      <c r="C1204" s="152"/>
      <c r="H1204" s="340"/>
      <c r="L1204" s="131"/>
      <c r="M1204" s="131"/>
      <c r="N1204" s="131"/>
      <c r="O1204" s="131"/>
      <c r="P1204" s="131"/>
      <c r="Q1204" s="131"/>
      <c r="R1204" s="131"/>
      <c r="S1204" s="131"/>
      <c r="T1204" s="131"/>
      <c r="U1204" s="131"/>
      <c r="V1204" s="131"/>
      <c r="W1204" s="131"/>
      <c r="X1204" s="131"/>
      <c r="Y1204" s="131"/>
      <c r="Z1204" s="131"/>
      <c r="AA1204" s="131"/>
      <c r="AB1204" s="131"/>
      <c r="AC1204" s="131"/>
    </row>
    <row r="1205" spans="2:29" x14ac:dyDescent="0.2">
      <c r="B1205" s="151"/>
      <c r="C1205" s="152"/>
      <c r="H1205" s="340"/>
      <c r="L1205" s="131"/>
      <c r="M1205" s="131"/>
      <c r="N1205" s="131"/>
      <c r="O1205" s="131"/>
      <c r="P1205" s="131"/>
      <c r="Q1205" s="131"/>
      <c r="R1205" s="131"/>
      <c r="S1205" s="131"/>
      <c r="T1205" s="131"/>
      <c r="U1205" s="131"/>
      <c r="V1205" s="131"/>
      <c r="W1205" s="131"/>
      <c r="X1205" s="131"/>
      <c r="Y1205" s="131"/>
      <c r="Z1205" s="131"/>
      <c r="AA1205" s="131"/>
      <c r="AB1205" s="131"/>
      <c r="AC1205" s="131"/>
    </row>
    <row r="1206" spans="2:29" x14ac:dyDescent="0.2">
      <c r="B1206" s="151"/>
      <c r="C1206" s="152"/>
      <c r="H1206" s="340"/>
      <c r="L1206" s="131"/>
      <c r="M1206" s="131"/>
      <c r="N1206" s="131"/>
      <c r="O1206" s="131"/>
      <c r="P1206" s="131"/>
      <c r="Q1206" s="131"/>
      <c r="R1206" s="131"/>
      <c r="S1206" s="131"/>
      <c r="T1206" s="131"/>
      <c r="U1206" s="131"/>
      <c r="V1206" s="131"/>
      <c r="W1206" s="131"/>
      <c r="X1206" s="131"/>
      <c r="Y1206" s="131"/>
      <c r="Z1206" s="131"/>
      <c r="AA1206" s="131"/>
      <c r="AB1206" s="131"/>
      <c r="AC1206" s="131"/>
    </row>
    <row r="1207" spans="2:29" x14ac:dyDescent="0.2">
      <c r="B1207" s="151"/>
      <c r="C1207" s="152"/>
      <c r="H1207" s="340"/>
      <c r="L1207" s="131"/>
      <c r="M1207" s="131"/>
      <c r="N1207" s="131"/>
      <c r="O1207" s="131"/>
      <c r="P1207" s="131"/>
      <c r="Q1207" s="131"/>
      <c r="R1207" s="131"/>
      <c r="S1207" s="131"/>
      <c r="T1207" s="131"/>
      <c r="U1207" s="131"/>
      <c r="V1207" s="131"/>
      <c r="W1207" s="131"/>
      <c r="X1207" s="131"/>
      <c r="Y1207" s="131"/>
      <c r="Z1207" s="131"/>
      <c r="AA1207" s="131"/>
      <c r="AB1207" s="131"/>
      <c r="AC1207" s="131"/>
    </row>
    <row r="1208" spans="2:29" x14ac:dyDescent="0.2">
      <c r="B1208" s="151"/>
      <c r="C1208" s="152"/>
      <c r="H1208" s="340"/>
      <c r="L1208" s="131"/>
      <c r="M1208" s="131"/>
      <c r="N1208" s="131"/>
      <c r="O1208" s="131"/>
      <c r="P1208" s="131"/>
      <c r="Q1208" s="131"/>
      <c r="R1208" s="131"/>
      <c r="S1208" s="131"/>
      <c r="T1208" s="131"/>
      <c r="U1208" s="131"/>
      <c r="V1208" s="131"/>
      <c r="W1208" s="131"/>
      <c r="X1208" s="131"/>
      <c r="Y1208" s="131"/>
      <c r="Z1208" s="131"/>
      <c r="AA1208" s="131"/>
      <c r="AB1208" s="131"/>
      <c r="AC1208" s="131"/>
    </row>
    <row r="1209" spans="2:29" x14ac:dyDescent="0.2">
      <c r="B1209" s="151"/>
      <c r="C1209" s="152"/>
      <c r="H1209" s="340"/>
      <c r="L1209" s="131"/>
      <c r="M1209" s="131"/>
      <c r="N1209" s="131"/>
      <c r="O1209" s="131"/>
      <c r="P1209" s="131"/>
      <c r="Q1209" s="131"/>
      <c r="R1209" s="131"/>
      <c r="S1209" s="131"/>
      <c r="T1209" s="131"/>
      <c r="U1209" s="131"/>
      <c r="V1209" s="131"/>
      <c r="W1209" s="131"/>
      <c r="X1209" s="131"/>
      <c r="Y1209" s="131"/>
      <c r="Z1209" s="131"/>
      <c r="AA1209" s="131"/>
      <c r="AB1209" s="131"/>
      <c r="AC1209" s="131"/>
    </row>
    <row r="1210" spans="2:29" x14ac:dyDescent="0.2">
      <c r="B1210" s="151"/>
      <c r="C1210" s="152"/>
      <c r="H1210" s="340"/>
      <c r="L1210" s="131"/>
      <c r="M1210" s="131"/>
      <c r="N1210" s="131"/>
      <c r="O1210" s="131"/>
      <c r="P1210" s="131"/>
      <c r="Q1210" s="131"/>
      <c r="R1210" s="131"/>
      <c r="S1210" s="131"/>
      <c r="T1210" s="131"/>
      <c r="U1210" s="131"/>
      <c r="V1210" s="131"/>
      <c r="W1210" s="131"/>
      <c r="X1210" s="131"/>
      <c r="Y1210" s="131"/>
      <c r="Z1210" s="131"/>
      <c r="AA1210" s="131"/>
      <c r="AB1210" s="131"/>
      <c r="AC1210" s="131"/>
    </row>
    <row r="1211" spans="2:29" x14ac:dyDescent="0.2">
      <c r="B1211" s="151"/>
      <c r="C1211" s="152"/>
      <c r="H1211" s="340"/>
      <c r="L1211" s="131"/>
      <c r="M1211" s="131"/>
      <c r="N1211" s="131"/>
      <c r="O1211" s="131"/>
      <c r="P1211" s="131"/>
      <c r="Q1211" s="131"/>
      <c r="R1211" s="131"/>
      <c r="S1211" s="131"/>
      <c r="T1211" s="131"/>
      <c r="U1211" s="131"/>
      <c r="V1211" s="131"/>
      <c r="W1211" s="131"/>
      <c r="X1211" s="131"/>
      <c r="Y1211" s="131"/>
      <c r="Z1211" s="131"/>
      <c r="AA1211" s="131"/>
      <c r="AB1211" s="131"/>
      <c r="AC1211" s="131"/>
    </row>
    <row r="1212" spans="2:29" x14ac:dyDescent="0.2">
      <c r="B1212" s="151"/>
      <c r="C1212" s="152"/>
      <c r="H1212" s="340"/>
      <c r="L1212" s="131"/>
      <c r="M1212" s="131"/>
      <c r="N1212" s="131"/>
      <c r="O1212" s="131"/>
      <c r="P1212" s="131"/>
      <c r="Q1212" s="131"/>
      <c r="R1212" s="131"/>
      <c r="S1212" s="131"/>
      <c r="T1212" s="131"/>
      <c r="U1212" s="131"/>
      <c r="V1212" s="131"/>
      <c r="W1212" s="131"/>
      <c r="X1212" s="131"/>
      <c r="Y1212" s="131"/>
      <c r="Z1212" s="131"/>
      <c r="AA1212" s="131"/>
      <c r="AB1212" s="131"/>
      <c r="AC1212" s="131"/>
    </row>
    <row r="1213" spans="2:29" x14ac:dyDescent="0.2">
      <c r="B1213" s="151"/>
      <c r="C1213" s="152"/>
      <c r="H1213" s="340"/>
      <c r="L1213" s="131"/>
      <c r="M1213" s="131"/>
      <c r="N1213" s="131"/>
      <c r="O1213" s="131"/>
      <c r="P1213" s="131"/>
      <c r="Q1213" s="131"/>
      <c r="R1213" s="131"/>
      <c r="S1213" s="131"/>
      <c r="T1213" s="131"/>
      <c r="U1213" s="131"/>
      <c r="V1213" s="131"/>
      <c r="W1213" s="131"/>
      <c r="X1213" s="131"/>
      <c r="Y1213" s="131"/>
      <c r="Z1213" s="131"/>
      <c r="AA1213" s="131"/>
      <c r="AB1213" s="131"/>
      <c r="AC1213" s="131"/>
    </row>
    <row r="1214" spans="2:29" x14ac:dyDescent="0.2">
      <c r="B1214" s="151"/>
      <c r="C1214" s="152"/>
      <c r="H1214" s="340"/>
      <c r="L1214" s="131"/>
      <c r="M1214" s="131"/>
      <c r="N1214" s="131"/>
      <c r="O1214" s="131"/>
      <c r="P1214" s="131"/>
      <c r="Q1214" s="131"/>
      <c r="R1214" s="131"/>
      <c r="S1214" s="131"/>
      <c r="T1214" s="131"/>
      <c r="U1214" s="131"/>
      <c r="V1214" s="131"/>
      <c r="W1214" s="131"/>
      <c r="X1214" s="131"/>
      <c r="Y1214" s="131"/>
      <c r="Z1214" s="131"/>
      <c r="AA1214" s="131"/>
      <c r="AB1214" s="131"/>
      <c r="AC1214" s="131"/>
    </row>
    <row r="1215" spans="2:29" x14ac:dyDescent="0.2">
      <c r="B1215" s="151"/>
      <c r="C1215" s="152"/>
      <c r="H1215" s="340"/>
      <c r="L1215" s="131"/>
      <c r="M1215" s="131"/>
      <c r="N1215" s="131"/>
      <c r="O1215" s="131"/>
      <c r="P1215" s="131"/>
      <c r="Q1215" s="131"/>
      <c r="R1215" s="131"/>
      <c r="S1215" s="131"/>
      <c r="T1215" s="131"/>
      <c r="U1215" s="131"/>
      <c r="V1215" s="131"/>
      <c r="W1215" s="131"/>
      <c r="X1215" s="131"/>
      <c r="Y1215" s="131"/>
      <c r="Z1215" s="131"/>
      <c r="AA1215" s="131"/>
      <c r="AB1215" s="131"/>
      <c r="AC1215" s="131"/>
    </row>
    <row r="1216" spans="2:29" x14ac:dyDescent="0.2">
      <c r="B1216" s="151"/>
      <c r="C1216" s="152"/>
      <c r="H1216" s="340"/>
      <c r="L1216" s="131"/>
      <c r="M1216" s="131"/>
      <c r="N1216" s="131"/>
      <c r="O1216" s="131"/>
      <c r="P1216" s="131"/>
      <c r="Q1216" s="131"/>
      <c r="R1216" s="131"/>
      <c r="S1216" s="131"/>
      <c r="T1216" s="131"/>
      <c r="U1216" s="131"/>
      <c r="V1216" s="131"/>
      <c r="W1216" s="131"/>
      <c r="X1216" s="131"/>
      <c r="Y1216" s="131"/>
      <c r="Z1216" s="131"/>
      <c r="AA1216" s="131"/>
      <c r="AB1216" s="131"/>
      <c r="AC1216" s="131"/>
    </row>
    <row r="1217" spans="2:29" x14ac:dyDescent="0.2">
      <c r="B1217" s="151"/>
      <c r="C1217" s="152"/>
      <c r="H1217" s="340"/>
      <c r="L1217" s="131"/>
      <c r="M1217" s="131"/>
      <c r="N1217" s="131"/>
      <c r="O1217" s="131"/>
      <c r="P1217" s="131"/>
      <c r="Q1217" s="131"/>
      <c r="R1217" s="131"/>
      <c r="S1217" s="131"/>
      <c r="T1217" s="131"/>
      <c r="U1217" s="131"/>
      <c r="V1217" s="131"/>
      <c r="W1217" s="131"/>
      <c r="X1217" s="131"/>
      <c r="Y1217" s="131"/>
      <c r="Z1217" s="131"/>
      <c r="AA1217" s="131"/>
      <c r="AB1217" s="131"/>
      <c r="AC1217" s="131"/>
    </row>
    <row r="1218" spans="2:29" x14ac:dyDescent="0.2">
      <c r="B1218" s="151"/>
      <c r="C1218" s="152"/>
      <c r="H1218" s="340"/>
      <c r="L1218" s="131"/>
      <c r="M1218" s="131"/>
      <c r="N1218" s="131"/>
      <c r="O1218" s="131"/>
      <c r="P1218" s="131"/>
      <c r="Q1218" s="131"/>
      <c r="R1218" s="131"/>
      <c r="S1218" s="131"/>
      <c r="T1218" s="131"/>
      <c r="U1218" s="131"/>
      <c r="V1218" s="131"/>
      <c r="W1218" s="131"/>
      <c r="X1218" s="131"/>
      <c r="Y1218" s="131"/>
      <c r="Z1218" s="131"/>
      <c r="AA1218" s="131"/>
      <c r="AB1218" s="131"/>
      <c r="AC1218" s="131"/>
    </row>
    <row r="1219" spans="2:29" x14ac:dyDescent="0.2">
      <c r="B1219" s="151"/>
      <c r="C1219" s="152"/>
      <c r="H1219" s="340"/>
      <c r="L1219" s="131"/>
      <c r="M1219" s="131"/>
      <c r="N1219" s="131"/>
      <c r="O1219" s="131"/>
      <c r="P1219" s="131"/>
      <c r="Q1219" s="131"/>
      <c r="R1219" s="131"/>
      <c r="S1219" s="131"/>
      <c r="T1219" s="131"/>
      <c r="U1219" s="131"/>
      <c r="V1219" s="131"/>
      <c r="W1219" s="131"/>
      <c r="X1219" s="131"/>
      <c r="Y1219" s="131"/>
      <c r="Z1219" s="131"/>
      <c r="AA1219" s="131"/>
      <c r="AB1219" s="131"/>
      <c r="AC1219" s="131"/>
    </row>
    <row r="1220" spans="2:29" x14ac:dyDescent="0.2">
      <c r="B1220" s="151"/>
      <c r="C1220" s="152"/>
      <c r="H1220" s="340"/>
      <c r="L1220" s="131"/>
      <c r="M1220" s="131"/>
      <c r="N1220" s="131"/>
      <c r="O1220" s="131"/>
      <c r="P1220" s="131"/>
      <c r="Q1220" s="131"/>
      <c r="R1220" s="131"/>
      <c r="S1220" s="131"/>
      <c r="T1220" s="131"/>
      <c r="U1220" s="131"/>
      <c r="V1220" s="131"/>
      <c r="W1220" s="131"/>
      <c r="X1220" s="131"/>
      <c r="Y1220" s="131"/>
      <c r="Z1220" s="131"/>
      <c r="AA1220" s="131"/>
      <c r="AB1220" s="131"/>
      <c r="AC1220" s="131"/>
    </row>
    <row r="1221" spans="2:29" x14ac:dyDescent="0.2">
      <c r="B1221" s="151"/>
      <c r="C1221" s="152"/>
      <c r="H1221" s="340"/>
      <c r="L1221" s="131"/>
      <c r="M1221" s="131"/>
      <c r="N1221" s="131"/>
      <c r="O1221" s="131"/>
      <c r="P1221" s="131"/>
      <c r="Q1221" s="131"/>
      <c r="R1221" s="131"/>
      <c r="S1221" s="131"/>
      <c r="T1221" s="131"/>
      <c r="U1221" s="131"/>
      <c r="V1221" s="131"/>
      <c r="W1221" s="131"/>
      <c r="X1221" s="131"/>
      <c r="Y1221" s="131"/>
      <c r="Z1221" s="131"/>
      <c r="AA1221" s="131"/>
      <c r="AB1221" s="131"/>
      <c r="AC1221" s="131"/>
    </row>
    <row r="1222" spans="2:29" x14ac:dyDescent="0.2">
      <c r="B1222" s="151"/>
      <c r="C1222" s="152"/>
      <c r="H1222" s="340"/>
      <c r="L1222" s="131"/>
      <c r="M1222" s="131"/>
      <c r="N1222" s="131"/>
      <c r="O1222" s="131"/>
      <c r="P1222" s="131"/>
      <c r="Q1222" s="131"/>
      <c r="R1222" s="131"/>
      <c r="S1222" s="131"/>
      <c r="T1222" s="131"/>
      <c r="U1222" s="131"/>
      <c r="V1222" s="131"/>
      <c r="W1222" s="131"/>
      <c r="X1222" s="131"/>
      <c r="Y1222" s="131"/>
      <c r="Z1222" s="131"/>
      <c r="AA1222" s="131"/>
      <c r="AB1222" s="131"/>
      <c r="AC1222" s="131"/>
    </row>
    <row r="1223" spans="2:29" x14ac:dyDescent="0.2">
      <c r="B1223" s="151"/>
      <c r="C1223" s="152"/>
      <c r="H1223" s="340"/>
      <c r="L1223" s="131"/>
      <c r="M1223" s="131"/>
      <c r="N1223" s="131"/>
      <c r="O1223" s="131"/>
      <c r="P1223" s="131"/>
      <c r="Q1223" s="131"/>
      <c r="R1223" s="131"/>
      <c r="S1223" s="131"/>
      <c r="T1223" s="131"/>
      <c r="U1223" s="131"/>
      <c r="V1223" s="131"/>
      <c r="W1223" s="131"/>
      <c r="X1223" s="131"/>
      <c r="Y1223" s="131"/>
      <c r="Z1223" s="131"/>
      <c r="AA1223" s="131"/>
      <c r="AB1223" s="131"/>
      <c r="AC1223" s="131"/>
    </row>
    <row r="1224" spans="2:29" x14ac:dyDescent="0.2">
      <c r="B1224" s="151"/>
      <c r="C1224" s="152"/>
      <c r="H1224" s="340"/>
      <c r="L1224" s="131"/>
      <c r="M1224" s="131"/>
      <c r="N1224" s="131"/>
      <c r="O1224" s="131"/>
      <c r="P1224" s="131"/>
      <c r="Q1224" s="131"/>
      <c r="R1224" s="131"/>
      <c r="S1224" s="131"/>
      <c r="T1224" s="131"/>
      <c r="U1224" s="131"/>
      <c r="V1224" s="131"/>
      <c r="W1224" s="131"/>
      <c r="X1224" s="131"/>
      <c r="Y1224" s="131"/>
      <c r="Z1224" s="131"/>
      <c r="AA1224" s="131"/>
      <c r="AB1224" s="131"/>
      <c r="AC1224" s="131"/>
    </row>
    <row r="1225" spans="2:29" x14ac:dyDescent="0.2">
      <c r="B1225" s="151"/>
      <c r="C1225" s="152"/>
      <c r="H1225" s="340"/>
      <c r="L1225" s="131"/>
      <c r="M1225" s="131"/>
      <c r="N1225" s="131"/>
      <c r="O1225" s="131"/>
      <c r="P1225" s="131"/>
      <c r="Q1225" s="131"/>
      <c r="R1225" s="131"/>
      <c r="S1225" s="131"/>
      <c r="T1225" s="131"/>
      <c r="U1225" s="131"/>
      <c r="V1225" s="131"/>
      <c r="W1225" s="131"/>
      <c r="X1225" s="131"/>
      <c r="Y1225" s="131"/>
      <c r="Z1225" s="131"/>
      <c r="AA1225" s="131"/>
      <c r="AB1225" s="131"/>
      <c r="AC1225" s="131"/>
    </row>
    <row r="1226" spans="2:29" x14ac:dyDescent="0.2">
      <c r="B1226" s="151"/>
      <c r="C1226" s="152"/>
      <c r="H1226" s="340"/>
      <c r="L1226" s="131"/>
      <c r="M1226" s="131"/>
      <c r="N1226" s="131"/>
      <c r="O1226" s="131"/>
      <c r="P1226" s="131"/>
      <c r="Q1226" s="131"/>
      <c r="R1226" s="131"/>
      <c r="S1226" s="131"/>
      <c r="T1226" s="131"/>
      <c r="U1226" s="131"/>
      <c r="V1226" s="131"/>
      <c r="W1226" s="131"/>
      <c r="X1226" s="131"/>
      <c r="Y1226" s="131"/>
      <c r="Z1226" s="131"/>
      <c r="AA1226" s="131"/>
      <c r="AB1226" s="131"/>
      <c r="AC1226" s="131"/>
    </row>
    <row r="1227" spans="2:29" x14ac:dyDescent="0.2">
      <c r="B1227" s="151"/>
      <c r="C1227" s="152"/>
      <c r="H1227" s="340"/>
      <c r="L1227" s="131"/>
      <c r="M1227" s="131"/>
      <c r="N1227" s="131"/>
      <c r="O1227" s="131"/>
      <c r="P1227" s="131"/>
      <c r="Q1227" s="131"/>
      <c r="R1227" s="131"/>
      <c r="S1227" s="131"/>
      <c r="T1227" s="131"/>
      <c r="U1227" s="131"/>
      <c r="V1227" s="131"/>
      <c r="W1227" s="131"/>
      <c r="X1227" s="131"/>
      <c r="Y1227" s="131"/>
      <c r="Z1227" s="131"/>
      <c r="AA1227" s="131"/>
      <c r="AB1227" s="131"/>
      <c r="AC1227" s="131"/>
    </row>
    <row r="1228" spans="2:29" x14ac:dyDescent="0.2">
      <c r="B1228" s="151"/>
      <c r="C1228" s="152"/>
      <c r="H1228" s="340"/>
      <c r="L1228" s="131"/>
      <c r="M1228" s="131"/>
      <c r="N1228" s="131"/>
      <c r="O1228" s="131"/>
      <c r="P1228" s="131"/>
      <c r="Q1228" s="131"/>
      <c r="R1228" s="131"/>
      <c r="S1228" s="131"/>
      <c r="T1228" s="131"/>
      <c r="U1228" s="131"/>
      <c r="V1228" s="131"/>
      <c r="W1228" s="131"/>
      <c r="X1228" s="131"/>
      <c r="Y1228" s="131"/>
      <c r="Z1228" s="131"/>
      <c r="AA1228" s="131"/>
      <c r="AB1228" s="131"/>
      <c r="AC1228" s="131"/>
    </row>
    <row r="1229" spans="2:29" x14ac:dyDescent="0.2">
      <c r="B1229" s="151"/>
      <c r="C1229" s="152"/>
      <c r="H1229" s="340"/>
      <c r="L1229" s="131"/>
      <c r="M1229" s="131"/>
      <c r="N1229" s="131"/>
      <c r="O1229" s="131"/>
      <c r="P1229" s="131"/>
      <c r="Q1229" s="131"/>
      <c r="R1229" s="131"/>
      <c r="S1229" s="131"/>
      <c r="T1229" s="131"/>
      <c r="U1229" s="131"/>
      <c r="V1229" s="131"/>
      <c r="W1229" s="131"/>
      <c r="X1229" s="131"/>
      <c r="Y1229" s="131"/>
      <c r="Z1229" s="131"/>
      <c r="AA1229" s="131"/>
      <c r="AB1229" s="131"/>
      <c r="AC1229" s="131"/>
    </row>
    <row r="1230" spans="2:29" x14ac:dyDescent="0.2">
      <c r="B1230" s="151"/>
      <c r="C1230" s="152"/>
      <c r="H1230" s="340"/>
      <c r="L1230" s="131"/>
      <c r="M1230" s="131"/>
      <c r="N1230" s="131"/>
      <c r="O1230" s="131"/>
      <c r="P1230" s="131"/>
      <c r="Q1230" s="131"/>
      <c r="R1230" s="131"/>
      <c r="S1230" s="131"/>
      <c r="T1230" s="131"/>
      <c r="U1230" s="131"/>
      <c r="V1230" s="131"/>
      <c r="W1230" s="131"/>
      <c r="X1230" s="131"/>
      <c r="Y1230" s="131"/>
      <c r="Z1230" s="131"/>
      <c r="AA1230" s="131"/>
      <c r="AB1230" s="131"/>
      <c r="AC1230" s="131"/>
    </row>
    <row r="1231" spans="2:29" x14ac:dyDescent="0.2">
      <c r="B1231" s="151"/>
      <c r="C1231" s="152"/>
      <c r="H1231" s="340"/>
      <c r="L1231" s="131"/>
      <c r="M1231" s="131"/>
      <c r="N1231" s="131"/>
      <c r="O1231" s="131"/>
      <c r="P1231" s="131"/>
      <c r="Q1231" s="131"/>
      <c r="R1231" s="131"/>
      <c r="S1231" s="131"/>
      <c r="T1231" s="131"/>
      <c r="U1231" s="131"/>
      <c r="V1231" s="131"/>
      <c r="W1231" s="131"/>
      <c r="X1231" s="131"/>
      <c r="Y1231" s="131"/>
      <c r="Z1231" s="131"/>
      <c r="AA1231" s="131"/>
      <c r="AB1231" s="131"/>
      <c r="AC1231" s="131"/>
    </row>
    <row r="1232" spans="2:29" x14ac:dyDescent="0.2">
      <c r="B1232" s="151"/>
      <c r="C1232" s="152"/>
      <c r="H1232" s="340"/>
      <c r="L1232" s="131"/>
      <c r="M1232" s="131"/>
      <c r="N1232" s="131"/>
      <c r="O1232" s="131"/>
      <c r="P1232" s="131"/>
      <c r="Q1232" s="131"/>
      <c r="R1232" s="131"/>
      <c r="S1232" s="131"/>
      <c r="T1232" s="131"/>
      <c r="U1232" s="131"/>
      <c r="V1232" s="131"/>
      <c r="W1232" s="131"/>
      <c r="X1232" s="131"/>
      <c r="Y1232" s="131"/>
      <c r="Z1232" s="131"/>
      <c r="AA1232" s="131"/>
      <c r="AB1232" s="131"/>
      <c r="AC1232" s="131"/>
    </row>
    <row r="1233" spans="2:29" x14ac:dyDescent="0.2">
      <c r="B1233" s="151"/>
      <c r="C1233" s="152"/>
      <c r="H1233" s="340"/>
      <c r="L1233" s="131"/>
      <c r="M1233" s="131"/>
      <c r="N1233" s="131"/>
      <c r="O1233" s="131"/>
      <c r="P1233" s="131"/>
      <c r="Q1233" s="131"/>
      <c r="R1233" s="131"/>
      <c r="S1233" s="131"/>
      <c r="T1233" s="131"/>
      <c r="U1233" s="131"/>
      <c r="V1233" s="131"/>
      <c r="W1233" s="131"/>
      <c r="X1233" s="131"/>
      <c r="Y1233" s="131"/>
      <c r="Z1233" s="131"/>
      <c r="AA1233" s="131"/>
      <c r="AB1233" s="131"/>
      <c r="AC1233" s="131"/>
    </row>
    <row r="1234" spans="2:29" x14ac:dyDescent="0.2">
      <c r="B1234" s="151"/>
      <c r="C1234" s="152"/>
      <c r="H1234" s="340"/>
      <c r="L1234" s="131"/>
      <c r="M1234" s="131"/>
      <c r="N1234" s="131"/>
      <c r="O1234" s="131"/>
      <c r="P1234" s="131"/>
      <c r="Q1234" s="131"/>
      <c r="R1234" s="131"/>
      <c r="S1234" s="131"/>
      <c r="T1234" s="131"/>
      <c r="U1234" s="131"/>
      <c r="V1234" s="131"/>
      <c r="W1234" s="131"/>
      <c r="X1234" s="131"/>
      <c r="Y1234" s="131"/>
      <c r="Z1234" s="131"/>
      <c r="AA1234" s="131"/>
      <c r="AB1234" s="131"/>
      <c r="AC1234" s="131"/>
    </row>
    <row r="1235" spans="2:29" x14ac:dyDescent="0.2">
      <c r="B1235" s="151"/>
      <c r="C1235" s="152"/>
      <c r="H1235" s="340"/>
      <c r="L1235" s="131"/>
      <c r="M1235" s="131"/>
      <c r="N1235" s="131"/>
      <c r="O1235" s="131"/>
      <c r="P1235" s="131"/>
      <c r="Q1235" s="131"/>
      <c r="R1235" s="131"/>
      <c r="S1235" s="131"/>
      <c r="T1235" s="131"/>
      <c r="U1235" s="131"/>
      <c r="V1235" s="131"/>
      <c r="W1235" s="131"/>
      <c r="X1235" s="131"/>
      <c r="Y1235" s="131"/>
      <c r="Z1235" s="131"/>
      <c r="AA1235" s="131"/>
      <c r="AB1235" s="131"/>
      <c r="AC1235" s="131"/>
    </row>
    <row r="1236" spans="2:29" x14ac:dyDescent="0.2">
      <c r="B1236" s="151"/>
      <c r="C1236" s="152"/>
      <c r="H1236" s="340"/>
      <c r="L1236" s="131"/>
      <c r="M1236" s="131"/>
      <c r="N1236" s="131"/>
      <c r="O1236" s="131"/>
      <c r="P1236" s="131"/>
      <c r="Q1236" s="131"/>
      <c r="R1236" s="131"/>
      <c r="S1236" s="131"/>
      <c r="T1236" s="131"/>
      <c r="U1236" s="131"/>
      <c r="V1236" s="131"/>
      <c r="W1236" s="131"/>
      <c r="X1236" s="131"/>
      <c r="Y1236" s="131"/>
      <c r="Z1236" s="131"/>
      <c r="AA1236" s="131"/>
      <c r="AB1236" s="131"/>
      <c r="AC1236" s="131"/>
    </row>
    <row r="1237" spans="2:29" x14ac:dyDescent="0.2">
      <c r="B1237" s="151"/>
      <c r="C1237" s="152"/>
      <c r="H1237" s="340"/>
      <c r="L1237" s="131"/>
      <c r="M1237" s="131"/>
      <c r="N1237" s="131"/>
      <c r="O1237" s="131"/>
      <c r="P1237" s="131"/>
      <c r="Q1237" s="131"/>
      <c r="R1237" s="131"/>
      <c r="S1237" s="131"/>
      <c r="T1237" s="131"/>
      <c r="U1237" s="131"/>
      <c r="V1237" s="131"/>
      <c r="W1237" s="131"/>
      <c r="X1237" s="131"/>
      <c r="Y1237" s="131"/>
      <c r="Z1237" s="131"/>
      <c r="AA1237" s="131"/>
      <c r="AB1237" s="131"/>
      <c r="AC1237" s="131"/>
    </row>
    <row r="1238" spans="2:29" x14ac:dyDescent="0.2">
      <c r="B1238" s="151"/>
      <c r="C1238" s="152"/>
      <c r="H1238" s="340"/>
      <c r="L1238" s="131"/>
      <c r="M1238" s="131"/>
      <c r="N1238" s="131"/>
      <c r="O1238" s="131"/>
      <c r="P1238" s="131"/>
      <c r="Q1238" s="131"/>
      <c r="R1238" s="131"/>
      <c r="S1238" s="131"/>
      <c r="T1238" s="131"/>
      <c r="U1238" s="131"/>
      <c r="V1238" s="131"/>
      <c r="W1238" s="131"/>
      <c r="X1238" s="131"/>
      <c r="Y1238" s="131"/>
      <c r="Z1238" s="131"/>
      <c r="AA1238" s="131"/>
      <c r="AB1238" s="131"/>
      <c r="AC1238" s="131"/>
    </row>
    <row r="1239" spans="2:29" x14ac:dyDescent="0.2">
      <c r="B1239" s="151"/>
      <c r="C1239" s="152"/>
      <c r="H1239" s="340"/>
      <c r="L1239" s="131"/>
      <c r="M1239" s="131"/>
      <c r="N1239" s="131"/>
      <c r="O1239" s="131"/>
      <c r="P1239" s="131"/>
      <c r="Q1239" s="131"/>
      <c r="R1239" s="131"/>
      <c r="S1239" s="131"/>
      <c r="T1239" s="131"/>
      <c r="U1239" s="131"/>
      <c r="V1239" s="131"/>
      <c r="W1239" s="131"/>
      <c r="X1239" s="131"/>
      <c r="Y1239" s="131"/>
      <c r="Z1239" s="131"/>
      <c r="AA1239" s="131"/>
      <c r="AB1239" s="131"/>
      <c r="AC1239" s="131"/>
    </row>
    <row r="1240" spans="2:29" x14ac:dyDescent="0.2">
      <c r="B1240" s="151"/>
      <c r="C1240" s="152"/>
      <c r="H1240" s="340"/>
      <c r="L1240" s="131"/>
      <c r="M1240" s="131"/>
      <c r="N1240" s="131"/>
      <c r="O1240" s="131"/>
      <c r="P1240" s="131"/>
      <c r="Q1240" s="131"/>
      <c r="R1240" s="131"/>
      <c r="S1240" s="131"/>
      <c r="T1240" s="131"/>
      <c r="U1240" s="131"/>
      <c r="V1240" s="131"/>
      <c r="W1240" s="131"/>
      <c r="X1240" s="131"/>
      <c r="Y1240" s="131"/>
      <c r="Z1240" s="131"/>
      <c r="AA1240" s="131"/>
      <c r="AB1240" s="131"/>
      <c r="AC1240" s="131"/>
    </row>
    <row r="1241" spans="2:29" x14ac:dyDescent="0.2">
      <c r="B1241" s="151"/>
      <c r="C1241" s="152"/>
      <c r="H1241" s="340"/>
      <c r="L1241" s="131"/>
      <c r="M1241" s="131"/>
      <c r="N1241" s="131"/>
      <c r="O1241" s="131"/>
      <c r="P1241" s="131"/>
      <c r="Q1241" s="131"/>
      <c r="R1241" s="131"/>
      <c r="S1241" s="131"/>
      <c r="T1241" s="131"/>
      <c r="U1241" s="131"/>
      <c r="V1241" s="131"/>
      <c r="W1241" s="131"/>
      <c r="X1241" s="131"/>
      <c r="Y1241" s="131"/>
      <c r="Z1241" s="131"/>
      <c r="AA1241" s="131"/>
      <c r="AB1241" s="131"/>
      <c r="AC1241" s="131"/>
    </row>
    <row r="1242" spans="2:29" x14ac:dyDescent="0.2">
      <c r="B1242" s="151"/>
      <c r="C1242" s="152"/>
      <c r="H1242" s="340"/>
      <c r="L1242" s="131"/>
      <c r="M1242" s="131"/>
      <c r="N1242" s="131"/>
      <c r="O1242" s="131"/>
      <c r="P1242" s="131"/>
      <c r="Q1242" s="131"/>
      <c r="R1242" s="131"/>
      <c r="S1242" s="131"/>
      <c r="T1242" s="131"/>
      <c r="U1242" s="131"/>
      <c r="V1242" s="131"/>
      <c r="W1242" s="131"/>
      <c r="X1242" s="131"/>
      <c r="Y1242" s="131"/>
      <c r="Z1242" s="131"/>
      <c r="AA1242" s="131"/>
      <c r="AB1242" s="131"/>
      <c r="AC1242" s="131"/>
    </row>
    <row r="1243" spans="2:29" x14ac:dyDescent="0.2">
      <c r="B1243" s="151"/>
      <c r="C1243" s="152"/>
      <c r="H1243" s="340"/>
      <c r="L1243" s="131"/>
      <c r="M1243" s="131"/>
      <c r="N1243" s="131"/>
      <c r="O1243" s="131"/>
      <c r="P1243" s="131"/>
      <c r="Q1243" s="131"/>
      <c r="R1243" s="131"/>
      <c r="S1243" s="131"/>
      <c r="T1243" s="131"/>
      <c r="U1243" s="131"/>
      <c r="V1243" s="131"/>
      <c r="W1243" s="131"/>
      <c r="X1243" s="131"/>
      <c r="Y1243" s="131"/>
      <c r="Z1243" s="131"/>
      <c r="AA1243" s="131"/>
      <c r="AB1243" s="131"/>
      <c r="AC1243" s="131"/>
    </row>
    <row r="1244" spans="2:29" x14ac:dyDescent="0.2">
      <c r="B1244" s="151"/>
      <c r="C1244" s="152"/>
      <c r="H1244" s="340"/>
      <c r="L1244" s="131"/>
      <c r="M1244" s="131"/>
      <c r="N1244" s="131"/>
      <c r="O1244" s="131"/>
      <c r="P1244" s="131"/>
      <c r="Q1244" s="131"/>
      <c r="R1244" s="131"/>
      <c r="S1244" s="131"/>
      <c r="T1244" s="131"/>
      <c r="U1244" s="131"/>
      <c r="V1244" s="131"/>
      <c r="W1244" s="131"/>
      <c r="X1244" s="131"/>
      <c r="Y1244" s="131"/>
      <c r="Z1244" s="131"/>
      <c r="AA1244" s="131"/>
      <c r="AB1244" s="131"/>
      <c r="AC1244" s="131"/>
    </row>
    <row r="1245" spans="2:29" x14ac:dyDescent="0.2">
      <c r="B1245" s="151"/>
      <c r="C1245" s="152"/>
      <c r="H1245" s="340"/>
      <c r="L1245" s="131"/>
      <c r="M1245" s="131"/>
      <c r="N1245" s="131"/>
      <c r="O1245" s="131"/>
      <c r="P1245" s="131"/>
      <c r="Q1245" s="131"/>
      <c r="R1245" s="131"/>
      <c r="S1245" s="131"/>
      <c r="T1245" s="131"/>
      <c r="U1245" s="131"/>
      <c r="V1245" s="131"/>
      <c r="W1245" s="131"/>
      <c r="X1245" s="131"/>
      <c r="Y1245" s="131"/>
      <c r="Z1245" s="131"/>
      <c r="AA1245" s="131"/>
      <c r="AB1245" s="131"/>
      <c r="AC1245" s="131"/>
    </row>
    <row r="1246" spans="2:29" x14ac:dyDescent="0.2">
      <c r="B1246" s="151"/>
      <c r="C1246" s="152"/>
      <c r="H1246" s="340"/>
      <c r="L1246" s="131"/>
      <c r="M1246" s="131"/>
      <c r="N1246" s="131"/>
      <c r="O1246" s="131"/>
      <c r="P1246" s="131"/>
      <c r="Q1246" s="131"/>
      <c r="R1246" s="131"/>
      <c r="S1246" s="131"/>
      <c r="T1246" s="131"/>
      <c r="U1246" s="131"/>
      <c r="V1246" s="131"/>
      <c r="W1246" s="131"/>
      <c r="X1246" s="131"/>
      <c r="Y1246" s="131"/>
      <c r="Z1246" s="131"/>
      <c r="AA1246" s="131"/>
      <c r="AB1246" s="131"/>
      <c r="AC1246" s="131"/>
    </row>
    <row r="1247" spans="2:29" x14ac:dyDescent="0.2">
      <c r="B1247" s="151"/>
      <c r="C1247" s="152"/>
      <c r="H1247" s="340"/>
      <c r="L1247" s="131"/>
      <c r="M1247" s="131"/>
      <c r="N1247" s="131"/>
      <c r="O1247" s="131"/>
      <c r="P1247" s="131"/>
      <c r="Q1247" s="131"/>
      <c r="R1247" s="131"/>
      <c r="S1247" s="131"/>
      <c r="T1247" s="131"/>
      <c r="U1247" s="131"/>
      <c r="V1247" s="131"/>
      <c r="W1247" s="131"/>
      <c r="X1247" s="131"/>
      <c r="Y1247" s="131"/>
      <c r="Z1247" s="131"/>
      <c r="AA1247" s="131"/>
      <c r="AB1247" s="131"/>
      <c r="AC1247" s="131"/>
    </row>
    <row r="1248" spans="2:29" x14ac:dyDescent="0.2">
      <c r="B1248" s="151"/>
      <c r="C1248" s="152"/>
      <c r="H1248" s="340"/>
      <c r="L1248" s="131"/>
      <c r="M1248" s="131"/>
      <c r="N1248" s="131"/>
      <c r="O1248" s="131"/>
      <c r="P1248" s="131"/>
      <c r="Q1248" s="131"/>
      <c r="R1248" s="131"/>
      <c r="S1248" s="131"/>
      <c r="T1248" s="131"/>
      <c r="U1248" s="131"/>
      <c r="V1248" s="131"/>
      <c r="W1248" s="131"/>
      <c r="X1248" s="131"/>
      <c r="Y1248" s="131"/>
      <c r="Z1248" s="131"/>
      <c r="AA1248" s="131"/>
      <c r="AB1248" s="131"/>
      <c r="AC1248" s="131"/>
    </row>
    <row r="1249" spans="2:29" x14ac:dyDescent="0.2">
      <c r="B1249" s="151"/>
      <c r="C1249" s="152"/>
      <c r="H1249" s="340"/>
      <c r="L1249" s="131"/>
      <c r="M1249" s="131"/>
      <c r="N1249" s="131"/>
      <c r="O1249" s="131"/>
      <c r="P1249" s="131"/>
      <c r="Q1249" s="131"/>
      <c r="R1249" s="131"/>
      <c r="S1249" s="131"/>
      <c r="T1249" s="131"/>
      <c r="U1249" s="131"/>
      <c r="V1249" s="131"/>
      <c r="W1249" s="131"/>
      <c r="X1249" s="131"/>
      <c r="Y1249" s="131"/>
      <c r="Z1249" s="131"/>
      <c r="AA1249" s="131"/>
      <c r="AB1249" s="131"/>
      <c r="AC1249" s="131"/>
    </row>
    <row r="1250" spans="2:29" x14ac:dyDescent="0.2">
      <c r="B1250" s="151"/>
      <c r="C1250" s="152"/>
      <c r="H1250" s="340"/>
      <c r="L1250" s="131"/>
      <c r="M1250" s="131"/>
      <c r="N1250" s="131"/>
      <c r="O1250" s="131"/>
      <c r="P1250" s="131"/>
      <c r="Q1250" s="131"/>
      <c r="R1250" s="131"/>
      <c r="S1250" s="131"/>
      <c r="T1250" s="131"/>
      <c r="U1250" s="131"/>
      <c r="V1250" s="131"/>
      <c r="W1250" s="131"/>
      <c r="X1250" s="131"/>
      <c r="Y1250" s="131"/>
      <c r="Z1250" s="131"/>
      <c r="AA1250" s="131"/>
      <c r="AB1250" s="131"/>
      <c r="AC1250" s="131"/>
    </row>
    <row r="1251" spans="2:29" x14ac:dyDescent="0.2">
      <c r="B1251" s="151"/>
      <c r="C1251" s="152"/>
      <c r="H1251" s="340"/>
      <c r="L1251" s="131"/>
      <c r="M1251" s="131"/>
      <c r="N1251" s="131"/>
      <c r="O1251" s="131"/>
      <c r="P1251" s="131"/>
      <c r="Q1251" s="131"/>
      <c r="R1251" s="131"/>
      <c r="S1251" s="131"/>
      <c r="T1251" s="131"/>
      <c r="U1251" s="131"/>
      <c r="V1251" s="131"/>
      <c r="W1251" s="131"/>
      <c r="X1251" s="131"/>
      <c r="Y1251" s="131"/>
      <c r="Z1251" s="131"/>
      <c r="AA1251" s="131"/>
      <c r="AB1251" s="131"/>
      <c r="AC1251" s="131"/>
    </row>
    <row r="1252" spans="2:29" x14ac:dyDescent="0.2">
      <c r="B1252" s="151"/>
      <c r="C1252" s="152"/>
      <c r="H1252" s="340"/>
      <c r="L1252" s="131"/>
      <c r="M1252" s="131"/>
      <c r="N1252" s="131"/>
      <c r="O1252" s="131"/>
      <c r="P1252" s="131"/>
      <c r="Q1252" s="131"/>
      <c r="R1252" s="131"/>
      <c r="S1252" s="131"/>
      <c r="T1252" s="131"/>
      <c r="U1252" s="131"/>
      <c r="V1252" s="131"/>
      <c r="W1252" s="131"/>
      <c r="X1252" s="131"/>
      <c r="Y1252" s="131"/>
      <c r="Z1252" s="131"/>
      <c r="AA1252" s="131"/>
      <c r="AB1252" s="131"/>
      <c r="AC1252" s="131"/>
    </row>
    <row r="1253" spans="2:29" x14ac:dyDescent="0.2">
      <c r="B1253" s="151"/>
      <c r="C1253" s="152"/>
      <c r="H1253" s="340"/>
      <c r="L1253" s="131"/>
      <c r="M1253" s="131"/>
      <c r="N1253" s="131"/>
      <c r="O1253" s="131"/>
      <c r="P1253" s="131"/>
      <c r="Q1253" s="131"/>
      <c r="R1253" s="131"/>
      <c r="S1253" s="131"/>
      <c r="T1253" s="131"/>
      <c r="U1253" s="131"/>
      <c r="V1253" s="131"/>
      <c r="W1253" s="131"/>
      <c r="X1253" s="131"/>
      <c r="Y1253" s="131"/>
      <c r="Z1253" s="131"/>
      <c r="AA1253" s="131"/>
      <c r="AB1253" s="131"/>
      <c r="AC1253" s="131"/>
    </row>
    <row r="1254" spans="2:29" x14ac:dyDescent="0.2">
      <c r="B1254" s="151"/>
      <c r="C1254" s="152"/>
      <c r="H1254" s="340"/>
      <c r="L1254" s="131"/>
      <c r="M1254" s="131"/>
      <c r="N1254" s="131"/>
      <c r="O1254" s="131"/>
      <c r="P1254" s="131"/>
      <c r="Q1254" s="131"/>
      <c r="R1254" s="131"/>
      <c r="S1254" s="131"/>
      <c r="T1254" s="131"/>
      <c r="U1254" s="131"/>
      <c r="V1254" s="131"/>
      <c r="W1254" s="131"/>
      <c r="X1254" s="131"/>
      <c r="Y1254" s="131"/>
      <c r="Z1254" s="131"/>
      <c r="AA1254" s="131"/>
      <c r="AB1254" s="131"/>
      <c r="AC1254" s="131"/>
    </row>
    <row r="1255" spans="2:29" x14ac:dyDescent="0.2">
      <c r="B1255" s="151"/>
      <c r="C1255" s="152"/>
      <c r="H1255" s="340"/>
      <c r="L1255" s="131"/>
      <c r="M1255" s="131"/>
      <c r="N1255" s="131"/>
      <c r="O1255" s="131"/>
      <c r="P1255" s="131"/>
      <c r="Q1255" s="131"/>
      <c r="R1255" s="131"/>
      <c r="S1255" s="131"/>
      <c r="T1255" s="131"/>
      <c r="U1255" s="131"/>
      <c r="V1255" s="131"/>
      <c r="W1255" s="131"/>
      <c r="X1255" s="131"/>
      <c r="Y1255" s="131"/>
      <c r="Z1255" s="131"/>
      <c r="AA1255" s="131"/>
      <c r="AB1255" s="131"/>
      <c r="AC1255" s="131"/>
    </row>
    <row r="1256" spans="2:29" x14ac:dyDescent="0.2">
      <c r="B1256" s="151"/>
      <c r="C1256" s="152"/>
      <c r="H1256" s="340"/>
      <c r="L1256" s="131"/>
      <c r="M1256" s="131"/>
      <c r="N1256" s="131"/>
      <c r="O1256" s="131"/>
      <c r="P1256" s="131"/>
      <c r="Q1256" s="131"/>
      <c r="R1256" s="131"/>
      <c r="S1256" s="131"/>
      <c r="T1256" s="131"/>
      <c r="U1256" s="131"/>
      <c r="V1256" s="131"/>
      <c r="W1256" s="131"/>
      <c r="X1256" s="131"/>
      <c r="Y1256" s="131"/>
      <c r="Z1256" s="131"/>
      <c r="AA1256" s="131"/>
      <c r="AB1256" s="131"/>
      <c r="AC1256" s="131"/>
    </row>
    <row r="1257" spans="2:29" x14ac:dyDescent="0.2">
      <c r="B1257" s="151"/>
      <c r="C1257" s="152"/>
      <c r="H1257" s="340"/>
      <c r="L1257" s="131"/>
      <c r="M1257" s="131"/>
      <c r="N1257" s="131"/>
      <c r="O1257" s="131"/>
      <c r="P1257" s="131"/>
      <c r="Q1257" s="131"/>
      <c r="R1257" s="131"/>
      <c r="S1257" s="131"/>
      <c r="T1257" s="131"/>
      <c r="U1257" s="131"/>
      <c r="V1257" s="131"/>
      <c r="W1257" s="131"/>
      <c r="X1257" s="131"/>
      <c r="Y1257" s="131"/>
      <c r="Z1257" s="131"/>
      <c r="AA1257" s="131"/>
      <c r="AB1257" s="131"/>
      <c r="AC1257" s="131"/>
    </row>
    <row r="1258" spans="2:29" x14ac:dyDescent="0.2">
      <c r="B1258" s="151"/>
      <c r="C1258" s="152"/>
      <c r="H1258" s="340"/>
      <c r="L1258" s="131"/>
      <c r="M1258" s="131"/>
      <c r="N1258" s="131"/>
      <c r="O1258" s="131"/>
      <c r="P1258" s="131"/>
      <c r="Q1258" s="131"/>
      <c r="R1258" s="131"/>
      <c r="S1258" s="131"/>
      <c r="T1258" s="131"/>
      <c r="U1258" s="131"/>
      <c r="V1258" s="131"/>
      <c r="W1258" s="131"/>
      <c r="X1258" s="131"/>
      <c r="Y1258" s="131"/>
      <c r="Z1258" s="131"/>
      <c r="AA1258" s="131"/>
      <c r="AB1258" s="131"/>
      <c r="AC1258" s="131"/>
    </row>
    <row r="1259" spans="2:29" x14ac:dyDescent="0.2">
      <c r="B1259" s="151"/>
      <c r="C1259" s="152"/>
      <c r="H1259" s="340"/>
      <c r="L1259" s="131"/>
      <c r="M1259" s="131"/>
      <c r="N1259" s="131"/>
      <c r="O1259" s="131"/>
      <c r="P1259" s="131"/>
      <c r="Q1259" s="131"/>
      <c r="R1259" s="131"/>
      <c r="S1259" s="131"/>
      <c r="T1259" s="131"/>
      <c r="U1259" s="131"/>
      <c r="V1259" s="131"/>
      <c r="W1259" s="131"/>
      <c r="X1259" s="131"/>
      <c r="Y1259" s="131"/>
      <c r="Z1259" s="131"/>
      <c r="AA1259" s="131"/>
      <c r="AB1259" s="131"/>
      <c r="AC1259" s="131"/>
    </row>
    <row r="1260" spans="2:29" x14ac:dyDescent="0.2">
      <c r="B1260" s="151"/>
      <c r="C1260" s="152"/>
      <c r="H1260" s="340"/>
      <c r="L1260" s="131"/>
      <c r="M1260" s="131"/>
      <c r="N1260" s="131"/>
      <c r="O1260" s="131"/>
      <c r="P1260" s="131"/>
      <c r="Q1260" s="131"/>
      <c r="R1260" s="131"/>
      <c r="S1260" s="131"/>
      <c r="T1260" s="131"/>
      <c r="U1260" s="131"/>
      <c r="V1260" s="131"/>
      <c r="W1260" s="131"/>
      <c r="X1260" s="131"/>
      <c r="Y1260" s="131"/>
      <c r="Z1260" s="131"/>
      <c r="AA1260" s="131"/>
      <c r="AB1260" s="131"/>
      <c r="AC1260" s="131"/>
    </row>
    <row r="1261" spans="2:29" x14ac:dyDescent="0.2">
      <c r="B1261" s="151"/>
      <c r="C1261" s="152"/>
      <c r="H1261" s="340"/>
      <c r="L1261" s="131"/>
      <c r="M1261" s="131"/>
      <c r="N1261" s="131"/>
      <c r="O1261" s="131"/>
      <c r="P1261" s="131"/>
      <c r="Q1261" s="131"/>
      <c r="R1261" s="131"/>
      <c r="S1261" s="131"/>
      <c r="T1261" s="131"/>
      <c r="U1261" s="131"/>
      <c r="V1261" s="131"/>
      <c r="W1261" s="131"/>
      <c r="X1261" s="131"/>
      <c r="Y1261" s="131"/>
      <c r="Z1261" s="131"/>
      <c r="AA1261" s="131"/>
      <c r="AB1261" s="131"/>
      <c r="AC1261" s="131"/>
    </row>
    <row r="1262" spans="2:29" x14ac:dyDescent="0.2">
      <c r="B1262" s="151"/>
      <c r="C1262" s="152"/>
      <c r="H1262" s="340"/>
      <c r="L1262" s="131"/>
      <c r="M1262" s="131"/>
      <c r="N1262" s="131"/>
      <c r="O1262" s="131"/>
      <c r="P1262" s="131"/>
      <c r="Q1262" s="131"/>
      <c r="R1262" s="131"/>
      <c r="S1262" s="131"/>
      <c r="T1262" s="131"/>
      <c r="U1262" s="131"/>
      <c r="V1262" s="131"/>
      <c r="W1262" s="131"/>
      <c r="X1262" s="131"/>
      <c r="Y1262" s="131"/>
      <c r="Z1262" s="131"/>
      <c r="AA1262" s="131"/>
      <c r="AB1262" s="131"/>
      <c r="AC1262" s="131"/>
    </row>
    <row r="1263" spans="2:29" x14ac:dyDescent="0.2">
      <c r="B1263" s="151"/>
      <c r="C1263" s="152"/>
      <c r="H1263" s="340"/>
      <c r="L1263" s="131"/>
      <c r="M1263" s="131"/>
      <c r="N1263" s="131"/>
      <c r="O1263" s="131"/>
      <c r="P1263" s="131"/>
      <c r="Q1263" s="131"/>
      <c r="R1263" s="131"/>
      <c r="S1263" s="131"/>
      <c r="T1263" s="131"/>
      <c r="U1263" s="131"/>
      <c r="V1263" s="131"/>
      <c r="W1263" s="131"/>
      <c r="X1263" s="131"/>
      <c r="Y1263" s="131"/>
      <c r="Z1263" s="131"/>
      <c r="AA1263" s="131"/>
      <c r="AB1263" s="131"/>
      <c r="AC1263" s="131"/>
    </row>
    <row r="1264" spans="2:29" x14ac:dyDescent="0.2">
      <c r="B1264" s="151"/>
      <c r="C1264" s="152"/>
      <c r="H1264" s="340"/>
      <c r="L1264" s="131"/>
      <c r="M1264" s="131"/>
      <c r="N1264" s="131"/>
      <c r="O1264" s="131"/>
      <c r="P1264" s="131"/>
      <c r="Q1264" s="131"/>
      <c r="R1264" s="131"/>
      <c r="S1264" s="131"/>
      <c r="T1264" s="131"/>
      <c r="U1264" s="131"/>
      <c r="V1264" s="131"/>
      <c r="W1264" s="131"/>
      <c r="X1264" s="131"/>
      <c r="Y1264" s="131"/>
      <c r="Z1264" s="131"/>
      <c r="AA1264" s="131"/>
      <c r="AB1264" s="131"/>
      <c r="AC1264" s="131"/>
    </row>
    <row r="1265" spans="2:29" x14ac:dyDescent="0.2">
      <c r="B1265" s="151"/>
      <c r="C1265" s="152"/>
      <c r="H1265" s="340"/>
      <c r="L1265" s="131"/>
      <c r="M1265" s="131"/>
      <c r="N1265" s="131"/>
      <c r="O1265" s="131"/>
      <c r="P1265" s="131"/>
      <c r="Q1265" s="131"/>
      <c r="R1265" s="131"/>
      <c r="S1265" s="131"/>
      <c r="T1265" s="131"/>
      <c r="U1265" s="131"/>
      <c r="V1265" s="131"/>
      <c r="W1265" s="131"/>
      <c r="X1265" s="131"/>
      <c r="Y1265" s="131"/>
      <c r="Z1265" s="131"/>
      <c r="AA1265" s="131"/>
      <c r="AB1265" s="131"/>
      <c r="AC1265" s="131"/>
    </row>
    <row r="1266" spans="2:29" x14ac:dyDescent="0.2">
      <c r="B1266" s="151"/>
      <c r="C1266" s="152"/>
      <c r="H1266" s="340"/>
      <c r="L1266" s="131"/>
      <c r="M1266" s="131"/>
      <c r="N1266" s="131"/>
      <c r="O1266" s="131"/>
      <c r="P1266" s="131"/>
      <c r="Q1266" s="131"/>
      <c r="R1266" s="131"/>
      <c r="S1266" s="131"/>
      <c r="T1266" s="131"/>
      <c r="U1266" s="131"/>
      <c r="V1266" s="131"/>
      <c r="W1266" s="131"/>
      <c r="X1266" s="131"/>
      <c r="Y1266" s="131"/>
      <c r="Z1266" s="131"/>
      <c r="AA1266" s="131"/>
      <c r="AB1266" s="131"/>
      <c r="AC1266" s="131"/>
    </row>
    <row r="1267" spans="2:29" x14ac:dyDescent="0.2">
      <c r="B1267" s="151"/>
      <c r="C1267" s="152"/>
      <c r="H1267" s="340"/>
      <c r="L1267" s="131"/>
      <c r="M1267" s="131"/>
      <c r="N1267" s="131"/>
      <c r="O1267" s="131"/>
      <c r="P1267" s="131"/>
      <c r="Q1267" s="131"/>
      <c r="R1267" s="131"/>
      <c r="S1267" s="131"/>
      <c r="T1267" s="131"/>
      <c r="U1267" s="131"/>
      <c r="V1267" s="131"/>
      <c r="W1267" s="131"/>
      <c r="X1267" s="131"/>
      <c r="Y1267" s="131"/>
      <c r="Z1267" s="131"/>
      <c r="AA1267" s="131"/>
      <c r="AB1267" s="131"/>
      <c r="AC1267" s="131"/>
    </row>
    <row r="1268" spans="2:29" x14ac:dyDescent="0.2">
      <c r="B1268" s="151"/>
      <c r="C1268" s="152"/>
      <c r="H1268" s="340"/>
      <c r="L1268" s="131"/>
      <c r="M1268" s="131"/>
      <c r="N1268" s="131"/>
      <c r="O1268" s="131"/>
      <c r="P1268" s="131"/>
      <c r="Q1268" s="131"/>
      <c r="R1268" s="131"/>
      <c r="S1268" s="131"/>
      <c r="T1268" s="131"/>
      <c r="U1268" s="131"/>
      <c r="V1268" s="131"/>
      <c r="W1268" s="131"/>
      <c r="X1268" s="131"/>
      <c r="Y1268" s="131"/>
      <c r="Z1268" s="131"/>
      <c r="AA1268" s="131"/>
      <c r="AB1268" s="131"/>
      <c r="AC1268" s="131"/>
    </row>
    <row r="1269" spans="2:29" x14ac:dyDescent="0.2">
      <c r="B1269" s="151"/>
      <c r="C1269" s="152"/>
      <c r="H1269" s="340"/>
      <c r="L1269" s="131"/>
      <c r="M1269" s="131"/>
      <c r="N1269" s="131"/>
      <c r="O1269" s="131"/>
      <c r="P1269" s="131"/>
      <c r="Q1269" s="131"/>
      <c r="R1269" s="131"/>
      <c r="S1269" s="131"/>
      <c r="T1269" s="131"/>
      <c r="U1269" s="131"/>
      <c r="V1269" s="131"/>
      <c r="W1269" s="131"/>
      <c r="X1269" s="131"/>
      <c r="Y1269" s="131"/>
      <c r="Z1269" s="131"/>
      <c r="AA1269" s="131"/>
      <c r="AB1269" s="131"/>
      <c r="AC1269" s="131"/>
    </row>
    <row r="1270" spans="2:29" x14ac:dyDescent="0.2">
      <c r="B1270" s="151"/>
      <c r="C1270" s="152"/>
      <c r="H1270" s="340"/>
      <c r="L1270" s="131"/>
      <c r="M1270" s="131"/>
      <c r="N1270" s="131"/>
      <c r="O1270" s="131"/>
      <c r="P1270" s="131"/>
      <c r="Q1270" s="131"/>
      <c r="R1270" s="131"/>
      <c r="S1270" s="131"/>
      <c r="T1270" s="131"/>
      <c r="U1270" s="131"/>
      <c r="V1270" s="131"/>
      <c r="W1270" s="131"/>
      <c r="X1270" s="131"/>
      <c r="Y1270" s="131"/>
      <c r="Z1270" s="131"/>
      <c r="AA1270" s="131"/>
      <c r="AB1270" s="131"/>
      <c r="AC1270" s="131"/>
    </row>
    <row r="1271" spans="2:29" x14ac:dyDescent="0.2">
      <c r="B1271" s="151"/>
      <c r="C1271" s="152"/>
      <c r="H1271" s="340"/>
      <c r="L1271" s="131"/>
      <c r="M1271" s="131"/>
      <c r="N1271" s="131"/>
      <c r="O1271" s="131"/>
      <c r="P1271" s="131"/>
      <c r="Q1271" s="131"/>
      <c r="R1271" s="131"/>
      <c r="S1271" s="131"/>
      <c r="T1271" s="131"/>
      <c r="U1271" s="131"/>
      <c r="V1271" s="131"/>
      <c r="W1271" s="131"/>
      <c r="X1271" s="131"/>
      <c r="Y1271" s="131"/>
      <c r="Z1271" s="131"/>
      <c r="AA1271" s="131"/>
      <c r="AB1271" s="131"/>
      <c r="AC1271" s="131"/>
    </row>
    <row r="1272" spans="2:29" x14ac:dyDescent="0.2">
      <c r="B1272" s="151"/>
      <c r="C1272" s="152"/>
      <c r="H1272" s="340"/>
      <c r="L1272" s="131"/>
      <c r="M1272" s="131"/>
      <c r="N1272" s="131"/>
      <c r="O1272" s="131"/>
      <c r="P1272" s="131"/>
      <c r="Q1272" s="131"/>
      <c r="R1272" s="131"/>
      <c r="S1272" s="131"/>
      <c r="T1272" s="131"/>
      <c r="U1272" s="131"/>
      <c r="V1272" s="131"/>
      <c r="W1272" s="131"/>
      <c r="X1272" s="131"/>
      <c r="Y1272" s="131"/>
      <c r="Z1272" s="131"/>
      <c r="AA1272" s="131"/>
      <c r="AB1272" s="131"/>
      <c r="AC1272" s="131"/>
    </row>
    <row r="1273" spans="2:29" x14ac:dyDescent="0.2">
      <c r="B1273" s="151"/>
      <c r="C1273" s="152"/>
      <c r="H1273" s="340"/>
      <c r="L1273" s="131"/>
      <c r="M1273" s="131"/>
      <c r="N1273" s="131"/>
      <c r="O1273" s="131"/>
      <c r="P1273" s="131"/>
      <c r="Q1273" s="131"/>
      <c r="R1273" s="131"/>
      <c r="S1273" s="131"/>
      <c r="T1273" s="131"/>
      <c r="U1273" s="131"/>
      <c r="V1273" s="131"/>
      <c r="W1273" s="131"/>
      <c r="X1273" s="131"/>
      <c r="Y1273" s="131"/>
      <c r="Z1273" s="131"/>
      <c r="AA1273" s="131"/>
      <c r="AB1273" s="131"/>
      <c r="AC1273" s="131"/>
    </row>
    <row r="1274" spans="2:29" x14ac:dyDescent="0.2">
      <c r="B1274" s="151"/>
      <c r="C1274" s="152"/>
      <c r="H1274" s="340"/>
      <c r="L1274" s="131"/>
      <c r="M1274" s="131"/>
      <c r="N1274" s="131"/>
      <c r="O1274" s="131"/>
      <c r="P1274" s="131"/>
      <c r="Q1274" s="131"/>
      <c r="R1274" s="131"/>
      <c r="S1274" s="131"/>
      <c r="T1274" s="131"/>
      <c r="U1274" s="131"/>
      <c r="V1274" s="131"/>
      <c r="W1274" s="131"/>
      <c r="X1274" s="131"/>
      <c r="Y1274" s="131"/>
      <c r="Z1274" s="131"/>
      <c r="AA1274" s="131"/>
      <c r="AB1274" s="131"/>
      <c r="AC1274" s="131"/>
    </row>
    <row r="1275" spans="2:29" x14ac:dyDescent="0.2">
      <c r="B1275" s="151"/>
      <c r="C1275" s="152"/>
      <c r="H1275" s="340"/>
      <c r="L1275" s="131"/>
      <c r="M1275" s="131"/>
      <c r="N1275" s="131"/>
      <c r="O1275" s="131"/>
      <c r="P1275" s="131"/>
      <c r="Q1275" s="131"/>
      <c r="R1275" s="131"/>
      <c r="S1275" s="131"/>
      <c r="T1275" s="131"/>
      <c r="U1275" s="131"/>
      <c r="V1275" s="131"/>
      <c r="W1275" s="131"/>
      <c r="X1275" s="131"/>
      <c r="Y1275" s="131"/>
      <c r="Z1275" s="131"/>
      <c r="AA1275" s="131"/>
      <c r="AB1275" s="131"/>
      <c r="AC1275" s="131"/>
    </row>
    <row r="1276" spans="2:29" x14ac:dyDescent="0.2">
      <c r="B1276" s="151"/>
      <c r="C1276" s="152"/>
      <c r="H1276" s="340"/>
      <c r="L1276" s="131"/>
      <c r="M1276" s="131"/>
      <c r="N1276" s="131"/>
      <c r="O1276" s="131"/>
      <c r="P1276" s="131"/>
      <c r="Q1276" s="131"/>
      <c r="R1276" s="131"/>
      <c r="S1276" s="131"/>
      <c r="T1276" s="131"/>
      <c r="U1276" s="131"/>
      <c r="V1276" s="131"/>
      <c r="W1276" s="131"/>
      <c r="X1276" s="131"/>
      <c r="Y1276" s="131"/>
      <c r="Z1276" s="131"/>
      <c r="AA1276" s="131"/>
      <c r="AB1276" s="131"/>
      <c r="AC1276" s="131"/>
    </row>
    <row r="1277" spans="2:29" x14ac:dyDescent="0.2">
      <c r="B1277" s="151"/>
      <c r="C1277" s="152"/>
      <c r="H1277" s="340"/>
      <c r="L1277" s="131"/>
      <c r="M1277" s="131"/>
      <c r="N1277" s="131"/>
      <c r="O1277" s="131"/>
      <c r="P1277" s="131"/>
      <c r="Q1277" s="131"/>
      <c r="R1277" s="131"/>
      <c r="S1277" s="131"/>
      <c r="T1277" s="131"/>
      <c r="U1277" s="131"/>
      <c r="V1277" s="131"/>
      <c r="W1277" s="131"/>
      <c r="X1277" s="131"/>
      <c r="Y1277" s="131"/>
      <c r="Z1277" s="131"/>
      <c r="AA1277" s="131"/>
      <c r="AB1277" s="131"/>
      <c r="AC1277" s="131"/>
    </row>
    <row r="1278" spans="2:29" x14ac:dyDescent="0.2">
      <c r="B1278" s="151"/>
      <c r="C1278" s="152"/>
      <c r="H1278" s="340"/>
      <c r="L1278" s="131"/>
      <c r="M1278" s="131"/>
      <c r="N1278" s="131"/>
      <c r="O1278" s="131"/>
      <c r="P1278" s="131"/>
      <c r="Q1278" s="131"/>
      <c r="R1278" s="131"/>
      <c r="S1278" s="131"/>
      <c r="T1278" s="131"/>
      <c r="U1278" s="131"/>
      <c r="V1278" s="131"/>
      <c r="W1278" s="131"/>
      <c r="X1278" s="131"/>
      <c r="Y1278" s="131"/>
      <c r="Z1278" s="131"/>
      <c r="AA1278" s="131"/>
      <c r="AB1278" s="131"/>
      <c r="AC1278" s="131"/>
    </row>
    <row r="1279" spans="2:29" x14ac:dyDescent="0.2">
      <c r="B1279" s="151"/>
      <c r="C1279" s="152"/>
      <c r="H1279" s="340"/>
      <c r="L1279" s="131"/>
      <c r="M1279" s="131"/>
      <c r="N1279" s="131"/>
      <c r="O1279" s="131"/>
      <c r="P1279" s="131"/>
      <c r="Q1279" s="131"/>
      <c r="R1279" s="131"/>
      <c r="S1279" s="131"/>
      <c r="T1279" s="131"/>
      <c r="U1279" s="131"/>
      <c r="V1279" s="131"/>
      <c r="W1279" s="131"/>
      <c r="X1279" s="131"/>
      <c r="Y1279" s="131"/>
      <c r="Z1279" s="131"/>
      <c r="AA1279" s="131"/>
      <c r="AB1279" s="131"/>
      <c r="AC1279" s="131"/>
    </row>
    <row r="1280" spans="2:29" x14ac:dyDescent="0.2">
      <c r="B1280" s="151"/>
      <c r="C1280" s="152"/>
      <c r="H1280" s="340"/>
      <c r="L1280" s="131"/>
      <c r="M1280" s="131"/>
      <c r="N1280" s="131"/>
      <c r="O1280" s="131"/>
      <c r="P1280" s="131"/>
      <c r="Q1280" s="131"/>
      <c r="R1280" s="131"/>
      <c r="S1280" s="131"/>
      <c r="T1280" s="131"/>
      <c r="U1280" s="131"/>
      <c r="V1280" s="131"/>
      <c r="W1280" s="131"/>
      <c r="X1280" s="131"/>
      <c r="Y1280" s="131"/>
      <c r="Z1280" s="131"/>
      <c r="AA1280" s="131"/>
      <c r="AB1280" s="131"/>
      <c r="AC1280" s="131"/>
    </row>
    <row r="1281" spans="2:29" x14ac:dyDescent="0.2">
      <c r="B1281" s="151"/>
      <c r="C1281" s="152"/>
      <c r="H1281" s="340"/>
      <c r="L1281" s="131"/>
      <c r="M1281" s="131"/>
      <c r="N1281" s="131"/>
      <c r="O1281" s="131"/>
      <c r="P1281" s="131"/>
      <c r="Q1281" s="131"/>
      <c r="R1281" s="131"/>
      <c r="S1281" s="131"/>
      <c r="T1281" s="131"/>
      <c r="U1281" s="131"/>
      <c r="V1281" s="131"/>
      <c r="W1281" s="131"/>
      <c r="X1281" s="131"/>
      <c r="Y1281" s="131"/>
      <c r="Z1281" s="131"/>
      <c r="AA1281" s="131"/>
      <c r="AB1281" s="131"/>
      <c r="AC1281" s="131"/>
    </row>
    <row r="1282" spans="2:29" x14ac:dyDescent="0.2">
      <c r="B1282" s="151"/>
      <c r="C1282" s="152"/>
      <c r="H1282" s="340"/>
      <c r="L1282" s="131"/>
      <c r="M1282" s="131"/>
      <c r="N1282" s="131"/>
      <c r="O1282" s="131"/>
      <c r="P1282" s="131"/>
      <c r="Q1282" s="131"/>
      <c r="R1282" s="131"/>
      <c r="S1282" s="131"/>
      <c r="T1282" s="131"/>
      <c r="U1282" s="131"/>
      <c r="V1282" s="131"/>
      <c r="W1282" s="131"/>
      <c r="X1282" s="131"/>
      <c r="Y1282" s="131"/>
      <c r="Z1282" s="131"/>
      <c r="AA1282" s="131"/>
      <c r="AB1282" s="131"/>
      <c r="AC1282" s="131"/>
    </row>
    <row r="1283" spans="2:29" x14ac:dyDescent="0.2">
      <c r="B1283" s="151"/>
      <c r="C1283" s="152"/>
      <c r="H1283" s="340"/>
      <c r="L1283" s="131"/>
      <c r="M1283" s="131"/>
      <c r="N1283" s="131"/>
      <c r="O1283" s="131"/>
      <c r="P1283" s="131"/>
      <c r="Q1283" s="131"/>
      <c r="R1283" s="131"/>
      <c r="S1283" s="131"/>
      <c r="T1283" s="131"/>
      <c r="U1283" s="131"/>
      <c r="V1283" s="131"/>
      <c r="W1283" s="131"/>
      <c r="X1283" s="131"/>
      <c r="Y1283" s="131"/>
      <c r="Z1283" s="131"/>
      <c r="AA1283" s="131"/>
      <c r="AB1283" s="131"/>
      <c r="AC1283" s="131"/>
    </row>
    <row r="1284" spans="2:29" x14ac:dyDescent="0.2">
      <c r="B1284" s="151"/>
      <c r="C1284" s="152"/>
      <c r="H1284" s="340"/>
      <c r="L1284" s="131"/>
      <c r="M1284" s="131"/>
      <c r="N1284" s="131"/>
      <c r="O1284" s="131"/>
      <c r="P1284" s="131"/>
      <c r="Q1284" s="131"/>
      <c r="R1284" s="131"/>
      <c r="S1284" s="131"/>
      <c r="T1284" s="131"/>
      <c r="U1284" s="131"/>
      <c r="V1284" s="131"/>
      <c r="W1284" s="131"/>
      <c r="X1284" s="131"/>
      <c r="Y1284" s="131"/>
      <c r="Z1284" s="131"/>
      <c r="AA1284" s="131"/>
      <c r="AB1284" s="131"/>
      <c r="AC1284" s="131"/>
    </row>
    <row r="1285" spans="2:29" x14ac:dyDescent="0.2">
      <c r="B1285" s="151"/>
      <c r="C1285" s="152"/>
      <c r="H1285" s="340"/>
      <c r="L1285" s="131"/>
      <c r="M1285" s="131"/>
      <c r="N1285" s="131"/>
      <c r="O1285" s="131"/>
      <c r="P1285" s="131"/>
      <c r="Q1285" s="131"/>
      <c r="R1285" s="131"/>
      <c r="S1285" s="131"/>
      <c r="T1285" s="131"/>
      <c r="U1285" s="131"/>
      <c r="V1285" s="131"/>
      <c r="W1285" s="131"/>
      <c r="X1285" s="131"/>
      <c r="Y1285" s="131"/>
      <c r="Z1285" s="131"/>
      <c r="AA1285" s="131"/>
      <c r="AB1285" s="131"/>
      <c r="AC1285" s="131"/>
    </row>
    <row r="1286" spans="2:29" x14ac:dyDescent="0.2">
      <c r="B1286" s="151"/>
      <c r="C1286" s="152"/>
      <c r="H1286" s="340"/>
      <c r="L1286" s="131"/>
      <c r="M1286" s="131"/>
      <c r="N1286" s="131"/>
      <c r="O1286" s="131"/>
      <c r="P1286" s="131"/>
      <c r="Q1286" s="131"/>
      <c r="R1286" s="131"/>
      <c r="S1286" s="131"/>
      <c r="T1286" s="131"/>
      <c r="U1286" s="131"/>
      <c r="V1286" s="131"/>
      <c r="W1286" s="131"/>
      <c r="X1286" s="131"/>
      <c r="Y1286" s="131"/>
      <c r="Z1286" s="131"/>
      <c r="AA1286" s="131"/>
      <c r="AB1286" s="131"/>
      <c r="AC1286" s="131"/>
    </row>
    <row r="1287" spans="2:29" x14ac:dyDescent="0.2">
      <c r="B1287" s="151"/>
      <c r="C1287" s="152"/>
      <c r="H1287" s="340"/>
      <c r="L1287" s="131"/>
      <c r="M1287" s="131"/>
      <c r="N1287" s="131"/>
      <c r="O1287" s="131"/>
      <c r="P1287" s="131"/>
      <c r="Q1287" s="131"/>
      <c r="R1287" s="131"/>
      <c r="S1287" s="131"/>
      <c r="T1287" s="131"/>
      <c r="U1287" s="131"/>
      <c r="V1287" s="131"/>
      <c r="W1287" s="131"/>
      <c r="X1287" s="131"/>
      <c r="Y1287" s="131"/>
      <c r="Z1287" s="131"/>
      <c r="AA1287" s="131"/>
      <c r="AB1287" s="131"/>
      <c r="AC1287" s="131"/>
    </row>
    <row r="1288" spans="2:29" x14ac:dyDescent="0.2">
      <c r="B1288" s="151"/>
      <c r="C1288" s="152"/>
      <c r="H1288" s="340"/>
      <c r="L1288" s="131"/>
      <c r="M1288" s="131"/>
      <c r="N1288" s="131"/>
      <c r="O1288" s="131"/>
      <c r="P1288" s="131"/>
      <c r="Q1288" s="131"/>
      <c r="R1288" s="131"/>
      <c r="S1288" s="131"/>
      <c r="T1288" s="131"/>
      <c r="U1288" s="131"/>
      <c r="V1288" s="131"/>
      <c r="W1288" s="131"/>
      <c r="X1288" s="131"/>
      <c r="Y1288" s="131"/>
      <c r="Z1288" s="131"/>
      <c r="AA1288" s="131"/>
      <c r="AB1288" s="131"/>
      <c r="AC1288" s="131"/>
    </row>
    <row r="1289" spans="2:29" x14ac:dyDescent="0.2">
      <c r="B1289" s="151"/>
      <c r="C1289" s="152"/>
      <c r="H1289" s="340"/>
      <c r="L1289" s="131"/>
      <c r="M1289" s="131"/>
      <c r="N1289" s="131"/>
      <c r="O1289" s="131"/>
      <c r="P1289" s="131"/>
      <c r="Q1289" s="131"/>
      <c r="R1289" s="131"/>
      <c r="S1289" s="131"/>
      <c r="T1289" s="131"/>
      <c r="U1289" s="131"/>
      <c r="V1289" s="131"/>
      <c r="W1289" s="131"/>
      <c r="X1289" s="131"/>
      <c r="Y1289" s="131"/>
      <c r="Z1289" s="131"/>
      <c r="AA1289" s="131"/>
      <c r="AB1289" s="131"/>
      <c r="AC1289" s="131"/>
    </row>
    <row r="1290" spans="2:29" x14ac:dyDescent="0.2">
      <c r="B1290" s="151"/>
      <c r="C1290" s="152"/>
      <c r="H1290" s="340"/>
      <c r="L1290" s="131"/>
      <c r="M1290" s="131"/>
      <c r="N1290" s="131"/>
      <c r="O1290" s="131"/>
      <c r="P1290" s="131"/>
      <c r="Q1290" s="131"/>
      <c r="R1290" s="131"/>
      <c r="S1290" s="131"/>
      <c r="T1290" s="131"/>
      <c r="U1290" s="131"/>
      <c r="V1290" s="131"/>
      <c r="W1290" s="131"/>
      <c r="X1290" s="131"/>
      <c r="Y1290" s="131"/>
      <c r="Z1290" s="131"/>
      <c r="AA1290" s="131"/>
      <c r="AB1290" s="131"/>
      <c r="AC1290" s="131"/>
    </row>
    <row r="1291" spans="2:29" x14ac:dyDescent="0.2">
      <c r="B1291" s="151"/>
      <c r="C1291" s="152"/>
      <c r="H1291" s="340"/>
      <c r="L1291" s="131"/>
      <c r="M1291" s="131"/>
      <c r="N1291" s="131"/>
      <c r="O1291" s="131"/>
      <c r="P1291" s="131"/>
      <c r="Q1291" s="131"/>
      <c r="R1291" s="131"/>
      <c r="S1291" s="131"/>
      <c r="T1291" s="131"/>
      <c r="U1291" s="131"/>
      <c r="V1291" s="131"/>
      <c r="W1291" s="131"/>
      <c r="X1291" s="131"/>
      <c r="Y1291" s="131"/>
      <c r="Z1291" s="131"/>
      <c r="AA1291" s="131"/>
      <c r="AB1291" s="131"/>
      <c r="AC1291" s="131"/>
    </row>
    <row r="1292" spans="2:29" x14ac:dyDescent="0.2">
      <c r="B1292" s="151"/>
      <c r="C1292" s="152"/>
      <c r="H1292" s="340"/>
      <c r="L1292" s="131"/>
      <c r="M1292" s="131"/>
      <c r="N1292" s="131"/>
      <c r="O1292" s="131"/>
      <c r="P1292" s="131"/>
      <c r="Q1292" s="131"/>
      <c r="R1292" s="131"/>
      <c r="S1292" s="131"/>
      <c r="T1292" s="131"/>
      <c r="U1292" s="131"/>
      <c r="V1292" s="131"/>
      <c r="W1292" s="131"/>
      <c r="X1292" s="131"/>
      <c r="Y1292" s="131"/>
      <c r="Z1292" s="131"/>
      <c r="AA1292" s="131"/>
      <c r="AB1292" s="131"/>
      <c r="AC1292" s="131"/>
    </row>
    <row r="1293" spans="2:29" x14ac:dyDescent="0.2">
      <c r="B1293" s="151"/>
      <c r="C1293" s="152"/>
      <c r="H1293" s="340"/>
      <c r="L1293" s="131"/>
      <c r="M1293" s="131"/>
      <c r="N1293" s="131"/>
      <c r="O1293" s="131"/>
      <c r="P1293" s="131"/>
      <c r="Q1293" s="131"/>
      <c r="R1293" s="131"/>
      <c r="S1293" s="131"/>
      <c r="T1293" s="131"/>
      <c r="U1293" s="131"/>
      <c r="V1293" s="131"/>
      <c r="W1293" s="131"/>
      <c r="X1293" s="131"/>
      <c r="Y1293" s="131"/>
      <c r="Z1293" s="131"/>
      <c r="AA1293" s="131"/>
      <c r="AB1293" s="131"/>
      <c r="AC1293" s="131"/>
    </row>
    <row r="1294" spans="2:29" x14ac:dyDescent="0.2">
      <c r="B1294" s="151"/>
      <c r="C1294" s="152"/>
      <c r="H1294" s="340"/>
      <c r="L1294" s="131"/>
      <c r="M1294" s="131"/>
      <c r="N1294" s="131"/>
      <c r="O1294" s="131"/>
      <c r="P1294" s="131"/>
      <c r="Q1294" s="131"/>
      <c r="R1294" s="131"/>
      <c r="S1294" s="131"/>
      <c r="T1294" s="131"/>
      <c r="U1294" s="131"/>
      <c r="V1294" s="131"/>
      <c r="W1294" s="131"/>
      <c r="X1294" s="131"/>
      <c r="Y1294" s="131"/>
      <c r="Z1294" s="131"/>
      <c r="AA1294" s="131"/>
      <c r="AB1294" s="131"/>
      <c r="AC1294" s="131"/>
    </row>
    <row r="1295" spans="2:29" x14ac:dyDescent="0.2">
      <c r="B1295" s="151"/>
      <c r="C1295" s="152"/>
      <c r="H1295" s="340"/>
      <c r="L1295" s="131"/>
      <c r="M1295" s="131"/>
      <c r="N1295" s="131"/>
      <c r="O1295" s="131"/>
      <c r="P1295" s="131"/>
      <c r="Q1295" s="131"/>
      <c r="R1295" s="131"/>
      <c r="S1295" s="131"/>
      <c r="T1295" s="131"/>
      <c r="U1295" s="131"/>
      <c r="V1295" s="131"/>
      <c r="W1295" s="131"/>
      <c r="X1295" s="131"/>
      <c r="Y1295" s="131"/>
      <c r="Z1295" s="131"/>
      <c r="AA1295" s="131"/>
      <c r="AB1295" s="131"/>
      <c r="AC1295" s="131"/>
    </row>
    <row r="1296" spans="2:29" x14ac:dyDescent="0.2">
      <c r="B1296" s="151"/>
      <c r="C1296" s="152"/>
      <c r="H1296" s="340"/>
      <c r="L1296" s="131"/>
      <c r="M1296" s="131"/>
      <c r="N1296" s="131"/>
      <c r="O1296" s="131"/>
      <c r="P1296" s="131"/>
      <c r="Q1296" s="131"/>
      <c r="R1296" s="131"/>
      <c r="S1296" s="131"/>
      <c r="T1296" s="131"/>
      <c r="U1296" s="131"/>
      <c r="V1296" s="131"/>
      <c r="W1296" s="131"/>
      <c r="X1296" s="131"/>
      <c r="Y1296" s="131"/>
      <c r="Z1296" s="131"/>
      <c r="AA1296" s="131"/>
      <c r="AB1296" s="131"/>
      <c r="AC1296" s="131"/>
    </row>
    <row r="1297" spans="2:29" x14ac:dyDescent="0.2">
      <c r="B1297" s="151"/>
      <c r="C1297" s="152"/>
      <c r="H1297" s="340"/>
      <c r="L1297" s="131"/>
      <c r="M1297" s="131"/>
      <c r="N1297" s="131"/>
      <c r="O1297" s="131"/>
      <c r="P1297" s="131"/>
      <c r="Q1297" s="131"/>
      <c r="R1297" s="131"/>
      <c r="S1297" s="131"/>
      <c r="T1297" s="131"/>
      <c r="U1297" s="131"/>
      <c r="V1297" s="131"/>
      <c r="W1297" s="131"/>
      <c r="X1297" s="131"/>
      <c r="Y1297" s="131"/>
      <c r="Z1297" s="131"/>
      <c r="AA1297" s="131"/>
      <c r="AB1297" s="131"/>
      <c r="AC1297" s="131"/>
    </row>
    <row r="1298" spans="2:29" x14ac:dyDescent="0.2">
      <c r="B1298" s="151"/>
      <c r="C1298" s="152"/>
      <c r="H1298" s="340"/>
      <c r="L1298" s="131"/>
      <c r="M1298" s="131"/>
      <c r="N1298" s="131"/>
      <c r="O1298" s="131"/>
      <c r="P1298" s="131"/>
      <c r="Q1298" s="131"/>
      <c r="R1298" s="131"/>
      <c r="S1298" s="131"/>
      <c r="T1298" s="131"/>
      <c r="U1298" s="131"/>
      <c r="V1298" s="131"/>
      <c r="W1298" s="131"/>
      <c r="X1298" s="131"/>
      <c r="Y1298" s="131"/>
      <c r="Z1298" s="131"/>
      <c r="AA1298" s="131"/>
      <c r="AB1298" s="131"/>
      <c r="AC1298" s="131"/>
    </row>
    <row r="1299" spans="2:29" x14ac:dyDescent="0.2">
      <c r="B1299" s="151"/>
      <c r="C1299" s="152"/>
      <c r="H1299" s="340"/>
      <c r="L1299" s="131"/>
      <c r="M1299" s="131"/>
      <c r="N1299" s="131"/>
      <c r="O1299" s="131"/>
      <c r="P1299" s="131"/>
      <c r="Q1299" s="131"/>
      <c r="R1299" s="131"/>
      <c r="S1299" s="131"/>
      <c r="T1299" s="131"/>
      <c r="U1299" s="131"/>
      <c r="V1299" s="131"/>
      <c r="W1299" s="131"/>
      <c r="X1299" s="131"/>
      <c r="Y1299" s="131"/>
      <c r="Z1299" s="131"/>
      <c r="AA1299" s="131"/>
      <c r="AB1299" s="131"/>
      <c r="AC1299" s="131"/>
    </row>
    <row r="1300" spans="2:29" x14ac:dyDescent="0.2">
      <c r="B1300" s="151"/>
      <c r="C1300" s="152"/>
      <c r="H1300" s="340"/>
      <c r="L1300" s="131"/>
      <c r="M1300" s="131"/>
      <c r="N1300" s="131"/>
      <c r="O1300" s="131"/>
      <c r="P1300" s="131"/>
      <c r="Q1300" s="131"/>
      <c r="R1300" s="131"/>
      <c r="S1300" s="131"/>
      <c r="T1300" s="131"/>
      <c r="U1300" s="131"/>
      <c r="V1300" s="131"/>
      <c r="W1300" s="131"/>
      <c r="X1300" s="131"/>
      <c r="Y1300" s="131"/>
      <c r="Z1300" s="131"/>
      <c r="AA1300" s="131"/>
      <c r="AB1300" s="131"/>
      <c r="AC1300" s="131"/>
    </row>
    <row r="1301" spans="2:29" x14ac:dyDescent="0.2">
      <c r="B1301" s="151"/>
      <c r="C1301" s="152"/>
      <c r="H1301" s="340"/>
      <c r="L1301" s="131"/>
      <c r="M1301" s="131"/>
      <c r="N1301" s="131"/>
      <c r="O1301" s="131"/>
      <c r="P1301" s="131"/>
      <c r="Q1301" s="131"/>
      <c r="R1301" s="131"/>
      <c r="S1301" s="131"/>
      <c r="T1301" s="131"/>
      <c r="U1301" s="131"/>
      <c r="V1301" s="131"/>
      <c r="W1301" s="131"/>
      <c r="X1301" s="131"/>
      <c r="Y1301" s="131"/>
      <c r="Z1301" s="131"/>
      <c r="AA1301" s="131"/>
      <c r="AB1301" s="131"/>
      <c r="AC1301" s="131"/>
    </row>
    <row r="1302" spans="2:29" x14ac:dyDescent="0.2">
      <c r="B1302" s="151"/>
      <c r="C1302" s="152"/>
      <c r="H1302" s="340"/>
      <c r="L1302" s="131"/>
      <c r="M1302" s="131"/>
      <c r="N1302" s="131"/>
      <c r="O1302" s="131"/>
      <c r="P1302" s="131"/>
      <c r="Q1302" s="131"/>
      <c r="R1302" s="131"/>
      <c r="S1302" s="131"/>
      <c r="T1302" s="131"/>
      <c r="U1302" s="131"/>
      <c r="V1302" s="131"/>
      <c r="W1302" s="131"/>
      <c r="X1302" s="131"/>
      <c r="Y1302" s="131"/>
      <c r="Z1302" s="131"/>
      <c r="AA1302" s="131"/>
      <c r="AB1302" s="131"/>
      <c r="AC1302" s="131"/>
    </row>
    <row r="1303" spans="2:29" x14ac:dyDescent="0.2">
      <c r="B1303" s="151"/>
      <c r="C1303" s="152"/>
      <c r="H1303" s="340"/>
      <c r="L1303" s="131"/>
      <c r="M1303" s="131"/>
      <c r="N1303" s="131"/>
      <c r="O1303" s="131"/>
      <c r="P1303" s="131"/>
      <c r="Q1303" s="131"/>
      <c r="R1303" s="131"/>
      <c r="S1303" s="131"/>
      <c r="T1303" s="131"/>
      <c r="U1303" s="131"/>
      <c r="V1303" s="131"/>
      <c r="W1303" s="131"/>
      <c r="X1303" s="131"/>
      <c r="Y1303" s="131"/>
      <c r="Z1303" s="131"/>
      <c r="AA1303" s="131"/>
      <c r="AB1303" s="131"/>
      <c r="AC1303" s="131"/>
    </row>
    <row r="1304" spans="2:29" x14ac:dyDescent="0.2">
      <c r="B1304" s="151"/>
      <c r="C1304" s="152"/>
      <c r="H1304" s="340"/>
      <c r="L1304" s="131"/>
      <c r="M1304" s="131"/>
      <c r="N1304" s="131"/>
      <c r="O1304" s="131"/>
      <c r="P1304" s="131"/>
      <c r="Q1304" s="131"/>
      <c r="R1304" s="131"/>
      <c r="S1304" s="131"/>
      <c r="T1304" s="131"/>
      <c r="U1304" s="131"/>
      <c r="V1304" s="131"/>
      <c r="W1304" s="131"/>
      <c r="X1304" s="131"/>
      <c r="Y1304" s="131"/>
      <c r="Z1304" s="131"/>
      <c r="AA1304" s="131"/>
      <c r="AB1304" s="131"/>
      <c r="AC1304" s="131"/>
    </row>
    <row r="1305" spans="2:29" x14ac:dyDescent="0.2">
      <c r="B1305" s="151"/>
      <c r="C1305" s="152"/>
      <c r="H1305" s="340"/>
      <c r="L1305" s="131"/>
      <c r="M1305" s="131"/>
      <c r="N1305" s="131"/>
      <c r="O1305" s="131"/>
      <c r="P1305" s="131"/>
      <c r="Q1305" s="131"/>
      <c r="R1305" s="131"/>
      <c r="S1305" s="131"/>
      <c r="T1305" s="131"/>
      <c r="U1305" s="131"/>
      <c r="V1305" s="131"/>
      <c r="W1305" s="131"/>
      <c r="X1305" s="131"/>
      <c r="Y1305" s="131"/>
      <c r="Z1305" s="131"/>
      <c r="AA1305" s="131"/>
      <c r="AB1305" s="131"/>
      <c r="AC1305" s="131"/>
    </row>
    <row r="1306" spans="2:29" x14ac:dyDescent="0.2">
      <c r="B1306" s="151"/>
      <c r="C1306" s="152"/>
      <c r="H1306" s="340"/>
      <c r="L1306" s="131"/>
      <c r="M1306" s="131"/>
      <c r="N1306" s="131"/>
      <c r="O1306" s="131"/>
      <c r="P1306" s="131"/>
      <c r="Q1306" s="131"/>
      <c r="R1306" s="131"/>
      <c r="S1306" s="131"/>
      <c r="T1306" s="131"/>
      <c r="U1306" s="131"/>
      <c r="V1306" s="131"/>
      <c r="W1306" s="131"/>
      <c r="X1306" s="131"/>
      <c r="Y1306" s="131"/>
      <c r="Z1306" s="131"/>
      <c r="AA1306" s="131"/>
      <c r="AB1306" s="131"/>
      <c r="AC1306" s="131"/>
    </row>
    <row r="1307" spans="2:29" x14ac:dyDescent="0.2">
      <c r="B1307" s="151"/>
      <c r="C1307" s="152"/>
      <c r="H1307" s="340"/>
      <c r="L1307" s="131"/>
      <c r="M1307" s="131"/>
      <c r="N1307" s="131"/>
      <c r="O1307" s="131"/>
      <c r="P1307" s="131"/>
      <c r="Q1307" s="131"/>
      <c r="R1307" s="131"/>
      <c r="S1307" s="131"/>
      <c r="T1307" s="131"/>
      <c r="U1307" s="131"/>
      <c r="V1307" s="131"/>
      <c r="W1307" s="131"/>
      <c r="X1307" s="131"/>
      <c r="Y1307" s="131"/>
      <c r="Z1307" s="131"/>
      <c r="AA1307" s="131"/>
      <c r="AB1307" s="131"/>
      <c r="AC1307" s="131"/>
    </row>
    <row r="1308" spans="2:29" x14ac:dyDescent="0.2">
      <c r="B1308" s="151"/>
      <c r="C1308" s="152"/>
      <c r="H1308" s="340"/>
      <c r="L1308" s="131"/>
      <c r="M1308" s="131"/>
      <c r="N1308" s="131"/>
      <c r="O1308" s="131"/>
      <c r="P1308" s="131"/>
      <c r="Q1308" s="131"/>
      <c r="R1308" s="131"/>
      <c r="S1308" s="131"/>
      <c r="T1308" s="131"/>
      <c r="U1308" s="131"/>
      <c r="V1308" s="131"/>
      <c r="W1308" s="131"/>
      <c r="X1308" s="131"/>
      <c r="Y1308" s="131"/>
      <c r="Z1308" s="131"/>
      <c r="AA1308" s="131"/>
      <c r="AB1308" s="131"/>
      <c r="AC1308" s="131"/>
    </row>
    <row r="1309" spans="2:29" x14ac:dyDescent="0.2">
      <c r="B1309" s="151"/>
      <c r="C1309" s="152"/>
      <c r="H1309" s="340"/>
      <c r="L1309" s="131"/>
      <c r="M1309" s="131"/>
      <c r="N1309" s="131"/>
      <c r="O1309" s="131"/>
      <c r="P1309" s="131"/>
      <c r="Q1309" s="131"/>
      <c r="R1309" s="131"/>
      <c r="S1309" s="131"/>
      <c r="T1309" s="131"/>
      <c r="U1309" s="131"/>
      <c r="V1309" s="131"/>
      <c r="W1309" s="131"/>
      <c r="X1309" s="131"/>
      <c r="Y1309" s="131"/>
      <c r="Z1309" s="131"/>
      <c r="AA1309" s="131"/>
      <c r="AB1309" s="131"/>
      <c r="AC1309" s="131"/>
    </row>
    <row r="1310" spans="2:29" x14ac:dyDescent="0.2">
      <c r="B1310" s="151"/>
      <c r="C1310" s="152"/>
      <c r="H1310" s="340"/>
      <c r="L1310" s="131"/>
      <c r="M1310" s="131"/>
      <c r="N1310" s="131"/>
      <c r="O1310" s="131"/>
      <c r="P1310" s="131"/>
      <c r="Q1310" s="131"/>
      <c r="R1310" s="131"/>
      <c r="S1310" s="131"/>
      <c r="T1310" s="131"/>
      <c r="U1310" s="131"/>
      <c r="V1310" s="131"/>
      <c r="W1310" s="131"/>
      <c r="X1310" s="131"/>
      <c r="Y1310" s="131"/>
      <c r="Z1310" s="131"/>
      <c r="AA1310" s="131"/>
      <c r="AB1310" s="131"/>
      <c r="AC1310" s="131"/>
    </row>
    <row r="1311" spans="2:29" x14ac:dyDescent="0.2">
      <c r="B1311" s="151"/>
      <c r="C1311" s="152"/>
      <c r="H1311" s="340"/>
      <c r="L1311" s="131"/>
      <c r="M1311" s="131"/>
      <c r="N1311" s="131"/>
      <c r="O1311" s="131"/>
      <c r="P1311" s="131"/>
      <c r="Q1311" s="131"/>
      <c r="R1311" s="131"/>
      <c r="S1311" s="131"/>
      <c r="T1311" s="131"/>
      <c r="U1311" s="131"/>
      <c r="V1311" s="131"/>
      <c r="W1311" s="131"/>
      <c r="X1311" s="131"/>
      <c r="Y1311" s="131"/>
      <c r="Z1311" s="131"/>
      <c r="AA1311" s="131"/>
      <c r="AB1311" s="131"/>
      <c r="AC1311" s="131"/>
    </row>
    <row r="1312" spans="2:29" x14ac:dyDescent="0.2">
      <c r="B1312" s="151"/>
      <c r="C1312" s="152"/>
      <c r="H1312" s="340"/>
      <c r="L1312" s="131"/>
      <c r="M1312" s="131"/>
      <c r="N1312" s="131"/>
      <c r="O1312" s="131"/>
      <c r="P1312" s="131"/>
      <c r="Q1312" s="131"/>
      <c r="R1312" s="131"/>
      <c r="S1312" s="131"/>
      <c r="T1312" s="131"/>
      <c r="U1312" s="131"/>
      <c r="V1312" s="131"/>
      <c r="W1312" s="131"/>
      <c r="X1312" s="131"/>
      <c r="Y1312" s="131"/>
      <c r="Z1312" s="131"/>
      <c r="AA1312" s="131"/>
      <c r="AB1312" s="131"/>
      <c r="AC1312" s="131"/>
    </row>
    <row r="1313" spans="2:29" x14ac:dyDescent="0.2">
      <c r="B1313" s="151"/>
      <c r="C1313" s="152"/>
      <c r="H1313" s="340"/>
      <c r="L1313" s="131"/>
      <c r="M1313" s="131"/>
      <c r="N1313" s="131"/>
      <c r="O1313" s="131"/>
      <c r="P1313" s="131"/>
      <c r="Q1313" s="131"/>
      <c r="R1313" s="131"/>
      <c r="S1313" s="131"/>
      <c r="T1313" s="131"/>
      <c r="U1313" s="131"/>
      <c r="V1313" s="131"/>
      <c r="W1313" s="131"/>
      <c r="X1313" s="131"/>
      <c r="Y1313" s="131"/>
      <c r="Z1313" s="131"/>
      <c r="AA1313" s="131"/>
      <c r="AB1313" s="131"/>
      <c r="AC1313" s="131"/>
    </row>
    <row r="1314" spans="2:29" x14ac:dyDescent="0.2">
      <c r="B1314" s="151"/>
      <c r="C1314" s="152"/>
      <c r="H1314" s="340"/>
      <c r="L1314" s="131"/>
      <c r="M1314" s="131"/>
      <c r="N1314" s="131"/>
      <c r="O1314" s="131"/>
      <c r="P1314" s="131"/>
      <c r="Q1314" s="131"/>
      <c r="R1314" s="131"/>
      <c r="S1314" s="131"/>
      <c r="T1314" s="131"/>
      <c r="U1314" s="131"/>
      <c r="V1314" s="131"/>
      <c r="W1314" s="131"/>
      <c r="X1314" s="131"/>
      <c r="Y1314" s="131"/>
      <c r="Z1314" s="131"/>
      <c r="AA1314" s="131"/>
      <c r="AB1314" s="131"/>
      <c r="AC1314" s="131"/>
    </row>
    <row r="1315" spans="2:29" x14ac:dyDescent="0.2">
      <c r="B1315" s="151"/>
      <c r="C1315" s="152"/>
      <c r="H1315" s="340"/>
      <c r="L1315" s="131"/>
      <c r="M1315" s="131"/>
      <c r="N1315" s="131"/>
      <c r="O1315" s="131"/>
      <c r="P1315" s="131"/>
      <c r="Q1315" s="131"/>
      <c r="R1315" s="131"/>
      <c r="S1315" s="131"/>
      <c r="T1315" s="131"/>
      <c r="U1315" s="131"/>
      <c r="V1315" s="131"/>
      <c r="W1315" s="131"/>
      <c r="X1315" s="131"/>
      <c r="Y1315" s="131"/>
      <c r="Z1315" s="131"/>
      <c r="AA1315" s="131"/>
      <c r="AB1315" s="131"/>
      <c r="AC1315" s="131"/>
    </row>
    <row r="1316" spans="2:29" x14ac:dyDescent="0.2">
      <c r="B1316" s="151"/>
      <c r="C1316" s="152"/>
      <c r="H1316" s="340"/>
      <c r="L1316" s="131"/>
      <c r="M1316" s="131"/>
      <c r="N1316" s="131"/>
      <c r="O1316" s="131"/>
      <c r="P1316" s="131"/>
      <c r="Q1316" s="131"/>
      <c r="R1316" s="131"/>
      <c r="S1316" s="131"/>
      <c r="T1316" s="131"/>
      <c r="U1316" s="131"/>
      <c r="V1316" s="131"/>
      <c r="W1316" s="131"/>
      <c r="X1316" s="131"/>
      <c r="Y1316" s="131"/>
      <c r="Z1316" s="131"/>
      <c r="AA1316" s="131"/>
      <c r="AB1316" s="131"/>
      <c r="AC1316" s="131"/>
    </row>
    <row r="1317" spans="2:29" x14ac:dyDescent="0.2">
      <c r="B1317" s="151"/>
      <c r="C1317" s="152"/>
      <c r="H1317" s="340"/>
      <c r="L1317" s="131"/>
      <c r="M1317" s="131"/>
      <c r="N1317" s="131"/>
      <c r="O1317" s="131"/>
      <c r="P1317" s="131"/>
      <c r="Q1317" s="131"/>
      <c r="R1317" s="131"/>
      <c r="S1317" s="131"/>
      <c r="T1317" s="131"/>
      <c r="U1317" s="131"/>
      <c r="V1317" s="131"/>
      <c r="W1317" s="131"/>
      <c r="X1317" s="131"/>
      <c r="Y1317" s="131"/>
      <c r="Z1317" s="131"/>
      <c r="AA1317" s="131"/>
      <c r="AB1317" s="131"/>
      <c r="AC1317" s="131"/>
    </row>
    <row r="1318" spans="2:29" x14ac:dyDescent="0.2">
      <c r="B1318" s="151"/>
      <c r="C1318" s="152"/>
      <c r="H1318" s="340"/>
      <c r="L1318" s="131"/>
      <c r="M1318" s="131"/>
      <c r="N1318" s="131"/>
      <c r="O1318" s="131"/>
      <c r="P1318" s="131"/>
      <c r="Q1318" s="131"/>
      <c r="R1318" s="131"/>
      <c r="S1318" s="131"/>
      <c r="T1318" s="131"/>
      <c r="U1318" s="131"/>
      <c r="V1318" s="131"/>
      <c r="W1318" s="131"/>
      <c r="X1318" s="131"/>
      <c r="Y1318" s="131"/>
      <c r="Z1318" s="131"/>
      <c r="AA1318" s="131"/>
      <c r="AB1318" s="131"/>
      <c r="AC1318" s="131"/>
    </row>
    <row r="1319" spans="2:29" x14ac:dyDescent="0.2">
      <c r="B1319" s="151"/>
      <c r="C1319" s="152"/>
      <c r="H1319" s="340"/>
      <c r="L1319" s="131"/>
      <c r="M1319" s="131"/>
      <c r="N1319" s="131"/>
      <c r="O1319" s="131"/>
      <c r="P1319" s="131"/>
      <c r="Q1319" s="131"/>
      <c r="R1319" s="131"/>
      <c r="S1319" s="131"/>
      <c r="T1319" s="131"/>
      <c r="U1319" s="131"/>
      <c r="V1319" s="131"/>
      <c r="W1319" s="131"/>
      <c r="X1319" s="131"/>
      <c r="Y1319" s="131"/>
      <c r="Z1319" s="131"/>
      <c r="AA1319" s="131"/>
      <c r="AB1319" s="131"/>
      <c r="AC1319" s="131"/>
    </row>
    <row r="1320" spans="2:29" x14ac:dyDescent="0.2">
      <c r="B1320" s="151"/>
      <c r="C1320" s="152"/>
      <c r="H1320" s="340"/>
      <c r="L1320" s="131"/>
      <c r="M1320" s="131"/>
      <c r="N1320" s="131"/>
      <c r="O1320" s="131"/>
      <c r="P1320" s="131"/>
      <c r="Q1320" s="131"/>
      <c r="R1320" s="131"/>
      <c r="S1320" s="131"/>
      <c r="T1320" s="131"/>
      <c r="U1320" s="131"/>
      <c r="V1320" s="131"/>
      <c r="W1320" s="131"/>
      <c r="X1320" s="131"/>
      <c r="Y1320" s="131"/>
      <c r="Z1320" s="131"/>
      <c r="AA1320" s="131"/>
      <c r="AB1320" s="131"/>
      <c r="AC1320" s="131"/>
    </row>
    <row r="1321" spans="2:29" x14ac:dyDescent="0.2">
      <c r="B1321" s="151"/>
      <c r="C1321" s="152"/>
      <c r="H1321" s="340"/>
      <c r="L1321" s="131"/>
      <c r="M1321" s="131"/>
      <c r="N1321" s="131"/>
      <c r="O1321" s="131"/>
      <c r="P1321" s="131"/>
      <c r="Q1321" s="131"/>
      <c r="R1321" s="131"/>
      <c r="S1321" s="131"/>
      <c r="T1321" s="131"/>
      <c r="U1321" s="131"/>
      <c r="V1321" s="131"/>
      <c r="W1321" s="131"/>
      <c r="X1321" s="131"/>
      <c r="Y1321" s="131"/>
      <c r="Z1321" s="131"/>
      <c r="AA1321" s="131"/>
      <c r="AB1321" s="131"/>
      <c r="AC1321" s="131"/>
    </row>
    <row r="1322" spans="2:29" x14ac:dyDescent="0.2">
      <c r="B1322" s="151"/>
      <c r="C1322" s="152"/>
      <c r="H1322" s="340"/>
      <c r="L1322" s="131"/>
      <c r="M1322" s="131"/>
      <c r="N1322" s="131"/>
      <c r="O1322" s="131"/>
      <c r="P1322" s="131"/>
      <c r="Q1322" s="131"/>
      <c r="R1322" s="131"/>
      <c r="S1322" s="131"/>
      <c r="T1322" s="131"/>
      <c r="U1322" s="131"/>
      <c r="V1322" s="131"/>
      <c r="W1322" s="131"/>
      <c r="X1322" s="131"/>
      <c r="Y1322" s="131"/>
      <c r="Z1322" s="131"/>
      <c r="AA1322" s="131"/>
      <c r="AB1322" s="131"/>
      <c r="AC1322" s="131"/>
    </row>
    <row r="1323" spans="2:29" x14ac:dyDescent="0.2">
      <c r="B1323" s="151"/>
      <c r="C1323" s="152"/>
      <c r="H1323" s="340"/>
      <c r="L1323" s="131"/>
      <c r="M1323" s="131"/>
      <c r="N1323" s="131"/>
      <c r="O1323" s="131"/>
      <c r="P1323" s="131"/>
      <c r="Q1323" s="131"/>
      <c r="R1323" s="131"/>
      <c r="S1323" s="131"/>
      <c r="T1323" s="131"/>
      <c r="U1323" s="131"/>
      <c r="V1323" s="131"/>
      <c r="W1323" s="131"/>
      <c r="X1323" s="131"/>
      <c r="Y1323" s="131"/>
      <c r="Z1323" s="131"/>
      <c r="AA1323" s="131"/>
      <c r="AB1323" s="131"/>
      <c r="AC1323" s="131"/>
    </row>
    <row r="1324" spans="2:29" x14ac:dyDescent="0.2">
      <c r="B1324" s="151"/>
      <c r="C1324" s="152"/>
      <c r="H1324" s="340"/>
      <c r="L1324" s="131"/>
      <c r="M1324" s="131"/>
      <c r="N1324" s="131"/>
      <c r="O1324" s="131"/>
      <c r="P1324" s="131"/>
      <c r="Q1324" s="131"/>
      <c r="R1324" s="131"/>
      <c r="S1324" s="131"/>
      <c r="T1324" s="131"/>
      <c r="U1324" s="131"/>
      <c r="V1324" s="131"/>
      <c r="W1324" s="131"/>
      <c r="X1324" s="131"/>
      <c r="Y1324" s="131"/>
      <c r="Z1324" s="131"/>
      <c r="AA1324" s="131"/>
      <c r="AB1324" s="131"/>
      <c r="AC1324" s="131"/>
    </row>
    <row r="1325" spans="2:29" x14ac:dyDescent="0.2">
      <c r="B1325" s="151"/>
      <c r="C1325" s="152"/>
      <c r="H1325" s="340"/>
      <c r="L1325" s="131"/>
      <c r="M1325" s="131"/>
      <c r="N1325" s="131"/>
      <c r="O1325" s="131"/>
      <c r="P1325" s="131"/>
      <c r="Q1325" s="131"/>
      <c r="R1325" s="131"/>
      <c r="S1325" s="131"/>
      <c r="T1325" s="131"/>
      <c r="U1325" s="131"/>
      <c r="V1325" s="131"/>
      <c r="W1325" s="131"/>
      <c r="X1325" s="131"/>
      <c r="Y1325" s="131"/>
      <c r="Z1325" s="131"/>
      <c r="AA1325" s="131"/>
      <c r="AB1325" s="131"/>
      <c r="AC1325" s="131"/>
    </row>
    <row r="1326" spans="2:29" x14ac:dyDescent="0.2">
      <c r="B1326" s="151"/>
      <c r="C1326" s="152"/>
      <c r="H1326" s="340"/>
      <c r="L1326" s="131"/>
      <c r="M1326" s="131"/>
      <c r="N1326" s="131"/>
      <c r="O1326" s="131"/>
      <c r="P1326" s="131"/>
      <c r="Q1326" s="131"/>
      <c r="R1326" s="131"/>
      <c r="S1326" s="131"/>
      <c r="T1326" s="131"/>
      <c r="U1326" s="131"/>
      <c r="V1326" s="131"/>
      <c r="W1326" s="131"/>
      <c r="X1326" s="131"/>
      <c r="Y1326" s="131"/>
      <c r="Z1326" s="131"/>
      <c r="AA1326" s="131"/>
      <c r="AB1326" s="131"/>
      <c r="AC1326" s="131"/>
    </row>
    <row r="1327" spans="2:29" x14ac:dyDescent="0.2">
      <c r="B1327" s="151"/>
      <c r="C1327" s="152"/>
      <c r="H1327" s="340"/>
      <c r="L1327" s="131"/>
      <c r="M1327" s="131"/>
      <c r="N1327" s="131"/>
      <c r="O1327" s="131"/>
      <c r="P1327" s="131"/>
      <c r="Q1327" s="131"/>
      <c r="R1327" s="131"/>
      <c r="S1327" s="131"/>
      <c r="T1327" s="131"/>
      <c r="U1327" s="131"/>
      <c r="V1327" s="131"/>
      <c r="W1327" s="131"/>
      <c r="X1327" s="131"/>
      <c r="Y1327" s="131"/>
      <c r="Z1327" s="131"/>
      <c r="AA1327" s="131"/>
      <c r="AB1327" s="131"/>
      <c r="AC1327" s="131"/>
    </row>
    <row r="1328" spans="2:29" x14ac:dyDescent="0.2">
      <c r="B1328" s="151"/>
      <c r="C1328" s="152"/>
      <c r="H1328" s="340"/>
      <c r="L1328" s="131"/>
      <c r="M1328" s="131"/>
      <c r="N1328" s="131"/>
      <c r="O1328" s="131"/>
      <c r="P1328" s="131"/>
      <c r="Q1328" s="131"/>
      <c r="R1328" s="131"/>
      <c r="S1328" s="131"/>
      <c r="T1328" s="131"/>
      <c r="U1328" s="131"/>
      <c r="V1328" s="131"/>
      <c r="W1328" s="131"/>
      <c r="X1328" s="131"/>
      <c r="Y1328" s="131"/>
      <c r="Z1328" s="131"/>
      <c r="AA1328" s="131"/>
      <c r="AB1328" s="131"/>
      <c r="AC1328" s="131"/>
    </row>
    <row r="1329" spans="2:29" x14ac:dyDescent="0.2">
      <c r="B1329" s="151"/>
      <c r="C1329" s="152"/>
      <c r="H1329" s="340"/>
      <c r="L1329" s="131"/>
      <c r="M1329" s="131"/>
      <c r="N1329" s="131"/>
      <c r="O1329" s="131"/>
      <c r="P1329" s="131"/>
      <c r="Q1329" s="131"/>
      <c r="R1329" s="131"/>
      <c r="S1329" s="131"/>
      <c r="T1329" s="131"/>
      <c r="U1329" s="131"/>
      <c r="V1329" s="131"/>
      <c r="W1329" s="131"/>
      <c r="X1329" s="131"/>
      <c r="Y1329" s="131"/>
      <c r="Z1329" s="131"/>
      <c r="AA1329" s="131"/>
      <c r="AB1329" s="131"/>
      <c r="AC1329" s="131"/>
    </row>
    <row r="1330" spans="2:29" x14ac:dyDescent="0.2">
      <c r="B1330" s="151"/>
      <c r="C1330" s="152"/>
      <c r="H1330" s="340"/>
      <c r="L1330" s="131"/>
      <c r="M1330" s="131"/>
      <c r="N1330" s="131"/>
      <c r="O1330" s="131"/>
      <c r="P1330" s="131"/>
      <c r="Q1330" s="131"/>
      <c r="R1330" s="131"/>
      <c r="S1330" s="131"/>
      <c r="T1330" s="131"/>
      <c r="U1330" s="131"/>
      <c r="V1330" s="131"/>
      <c r="W1330" s="131"/>
      <c r="X1330" s="131"/>
      <c r="Y1330" s="131"/>
      <c r="Z1330" s="131"/>
      <c r="AA1330" s="131"/>
      <c r="AB1330" s="131"/>
      <c r="AC1330" s="131"/>
    </row>
    <row r="1331" spans="2:29" x14ac:dyDescent="0.2">
      <c r="B1331" s="151"/>
      <c r="C1331" s="152"/>
      <c r="H1331" s="340"/>
      <c r="L1331" s="131"/>
      <c r="M1331" s="131"/>
      <c r="N1331" s="131"/>
      <c r="O1331" s="131"/>
      <c r="P1331" s="131"/>
      <c r="Q1331" s="131"/>
      <c r="R1331" s="131"/>
      <c r="S1331" s="131"/>
      <c r="T1331" s="131"/>
      <c r="U1331" s="131"/>
      <c r="V1331" s="131"/>
      <c r="W1331" s="131"/>
      <c r="X1331" s="131"/>
      <c r="Y1331" s="131"/>
      <c r="Z1331" s="131"/>
      <c r="AA1331" s="131"/>
      <c r="AB1331" s="131"/>
      <c r="AC1331" s="131"/>
    </row>
    <row r="1332" spans="2:29" x14ac:dyDescent="0.2">
      <c r="B1332" s="151"/>
      <c r="C1332" s="152"/>
      <c r="H1332" s="340"/>
      <c r="L1332" s="131"/>
      <c r="M1332" s="131"/>
      <c r="N1332" s="131"/>
      <c r="O1332" s="131"/>
      <c r="P1332" s="131"/>
      <c r="Q1332" s="131"/>
      <c r="R1332" s="131"/>
      <c r="S1332" s="131"/>
      <c r="T1332" s="131"/>
      <c r="U1332" s="131"/>
      <c r="V1332" s="131"/>
      <c r="W1332" s="131"/>
      <c r="X1332" s="131"/>
      <c r="Y1332" s="131"/>
      <c r="Z1332" s="131"/>
      <c r="AA1332" s="131"/>
      <c r="AB1332" s="131"/>
      <c r="AC1332" s="131"/>
    </row>
    <row r="1333" spans="2:29" x14ac:dyDescent="0.2">
      <c r="B1333" s="151"/>
      <c r="C1333" s="152"/>
      <c r="H1333" s="340"/>
      <c r="L1333" s="131"/>
      <c r="M1333" s="131"/>
      <c r="N1333" s="131"/>
      <c r="O1333" s="131"/>
      <c r="P1333" s="131"/>
      <c r="Q1333" s="131"/>
      <c r="R1333" s="131"/>
      <c r="S1333" s="131"/>
      <c r="T1333" s="131"/>
      <c r="U1333" s="131"/>
      <c r="V1333" s="131"/>
      <c r="W1333" s="131"/>
      <c r="X1333" s="131"/>
      <c r="Y1333" s="131"/>
      <c r="Z1333" s="131"/>
      <c r="AA1333" s="131"/>
      <c r="AB1333" s="131"/>
      <c r="AC1333" s="131"/>
    </row>
    <row r="1334" spans="2:29" x14ac:dyDescent="0.2">
      <c r="B1334" s="151"/>
      <c r="C1334" s="152"/>
      <c r="H1334" s="340"/>
      <c r="L1334" s="131"/>
      <c r="M1334" s="131"/>
      <c r="N1334" s="131"/>
      <c r="O1334" s="131"/>
      <c r="P1334" s="131"/>
      <c r="Q1334" s="131"/>
      <c r="R1334" s="131"/>
      <c r="S1334" s="131"/>
      <c r="T1334" s="131"/>
      <c r="U1334" s="131"/>
      <c r="V1334" s="131"/>
      <c r="W1334" s="131"/>
      <c r="X1334" s="131"/>
      <c r="Y1334" s="131"/>
      <c r="Z1334" s="131"/>
      <c r="AA1334" s="131"/>
      <c r="AB1334" s="131"/>
      <c r="AC1334" s="131"/>
    </row>
    <row r="1335" spans="2:29" x14ac:dyDescent="0.2">
      <c r="B1335" s="151"/>
      <c r="C1335" s="152"/>
      <c r="H1335" s="340"/>
      <c r="L1335" s="131"/>
      <c r="M1335" s="131"/>
      <c r="N1335" s="131"/>
      <c r="O1335" s="131"/>
      <c r="P1335" s="131"/>
      <c r="Q1335" s="131"/>
      <c r="R1335" s="131"/>
      <c r="S1335" s="131"/>
      <c r="T1335" s="131"/>
      <c r="U1335" s="131"/>
      <c r="V1335" s="131"/>
      <c r="W1335" s="131"/>
      <c r="X1335" s="131"/>
      <c r="Y1335" s="131"/>
      <c r="Z1335" s="131"/>
      <c r="AA1335" s="131"/>
      <c r="AB1335" s="131"/>
      <c r="AC1335" s="131"/>
    </row>
    <row r="1336" spans="2:29" x14ac:dyDescent="0.2">
      <c r="B1336" s="151"/>
      <c r="C1336" s="152"/>
      <c r="H1336" s="340"/>
      <c r="L1336" s="131"/>
      <c r="M1336" s="131"/>
      <c r="N1336" s="131"/>
      <c r="O1336" s="131"/>
      <c r="P1336" s="131"/>
      <c r="Q1336" s="131"/>
      <c r="R1336" s="131"/>
      <c r="S1336" s="131"/>
      <c r="T1336" s="131"/>
      <c r="U1336" s="131"/>
      <c r="V1336" s="131"/>
      <c r="W1336" s="131"/>
      <c r="X1336" s="131"/>
      <c r="Y1336" s="131"/>
      <c r="Z1336" s="131"/>
      <c r="AA1336" s="131"/>
      <c r="AB1336" s="131"/>
      <c r="AC1336" s="131"/>
    </row>
    <row r="1337" spans="2:29" x14ac:dyDescent="0.2">
      <c r="B1337" s="151"/>
      <c r="C1337" s="152"/>
      <c r="H1337" s="340"/>
      <c r="L1337" s="131"/>
      <c r="M1337" s="131"/>
      <c r="N1337" s="131"/>
      <c r="O1337" s="131"/>
      <c r="P1337" s="131"/>
      <c r="Q1337" s="131"/>
      <c r="R1337" s="131"/>
      <c r="S1337" s="131"/>
      <c r="T1337" s="131"/>
      <c r="U1337" s="131"/>
      <c r="V1337" s="131"/>
      <c r="W1337" s="131"/>
      <c r="X1337" s="131"/>
      <c r="Y1337" s="131"/>
      <c r="Z1337" s="131"/>
      <c r="AA1337" s="131"/>
      <c r="AB1337" s="131"/>
      <c r="AC1337" s="131"/>
    </row>
    <row r="1338" spans="2:29" x14ac:dyDescent="0.2">
      <c r="B1338" s="151"/>
      <c r="C1338" s="152"/>
      <c r="H1338" s="340"/>
      <c r="L1338" s="131"/>
      <c r="M1338" s="131"/>
      <c r="N1338" s="131"/>
      <c r="O1338" s="131"/>
      <c r="P1338" s="131"/>
      <c r="Q1338" s="131"/>
      <c r="R1338" s="131"/>
      <c r="S1338" s="131"/>
      <c r="T1338" s="131"/>
      <c r="U1338" s="131"/>
      <c r="V1338" s="131"/>
      <c r="W1338" s="131"/>
      <c r="X1338" s="131"/>
      <c r="Y1338" s="131"/>
      <c r="Z1338" s="131"/>
      <c r="AA1338" s="131"/>
      <c r="AB1338" s="131"/>
      <c r="AC1338" s="131"/>
    </row>
    <row r="1339" spans="2:29" x14ac:dyDescent="0.2">
      <c r="B1339" s="151"/>
      <c r="C1339" s="152"/>
      <c r="H1339" s="340"/>
      <c r="L1339" s="131"/>
      <c r="M1339" s="131"/>
      <c r="N1339" s="131"/>
      <c r="O1339" s="131"/>
      <c r="P1339" s="131"/>
      <c r="Q1339" s="131"/>
      <c r="R1339" s="131"/>
      <c r="S1339" s="131"/>
      <c r="T1339" s="131"/>
      <c r="U1339" s="131"/>
      <c r="V1339" s="131"/>
      <c r="W1339" s="131"/>
      <c r="X1339" s="131"/>
      <c r="Y1339" s="131"/>
      <c r="Z1339" s="131"/>
      <c r="AA1339" s="131"/>
      <c r="AB1339" s="131"/>
      <c r="AC1339" s="131"/>
    </row>
    <row r="1340" spans="2:29" x14ac:dyDescent="0.2">
      <c r="B1340" s="151"/>
      <c r="C1340" s="152"/>
      <c r="H1340" s="340"/>
      <c r="L1340" s="131"/>
      <c r="M1340" s="131"/>
      <c r="N1340" s="131"/>
      <c r="O1340" s="131"/>
      <c r="P1340" s="131"/>
      <c r="Q1340" s="131"/>
      <c r="R1340" s="131"/>
      <c r="S1340" s="131"/>
      <c r="T1340" s="131"/>
      <c r="U1340" s="131"/>
      <c r="V1340" s="131"/>
      <c r="W1340" s="131"/>
      <c r="X1340" s="131"/>
      <c r="Y1340" s="131"/>
      <c r="Z1340" s="131"/>
      <c r="AA1340" s="131"/>
      <c r="AB1340" s="131"/>
      <c r="AC1340" s="131"/>
    </row>
    <row r="1341" spans="2:29" x14ac:dyDescent="0.2">
      <c r="B1341" s="151"/>
      <c r="C1341" s="152"/>
      <c r="H1341" s="340"/>
      <c r="L1341" s="131"/>
      <c r="M1341" s="131"/>
      <c r="N1341" s="131"/>
      <c r="O1341" s="131"/>
      <c r="P1341" s="131"/>
      <c r="Q1341" s="131"/>
      <c r="R1341" s="131"/>
      <c r="S1341" s="131"/>
      <c r="T1341" s="131"/>
      <c r="U1341" s="131"/>
      <c r="V1341" s="131"/>
      <c r="W1341" s="131"/>
      <c r="X1341" s="131"/>
      <c r="Y1341" s="131"/>
      <c r="Z1341" s="131"/>
      <c r="AA1341" s="131"/>
      <c r="AB1341" s="131"/>
      <c r="AC1341" s="131"/>
    </row>
    <row r="1342" spans="2:29" x14ac:dyDescent="0.2">
      <c r="B1342" s="151"/>
      <c r="C1342" s="152"/>
      <c r="H1342" s="340"/>
      <c r="L1342" s="131"/>
      <c r="M1342" s="131"/>
      <c r="N1342" s="131"/>
      <c r="O1342" s="131"/>
      <c r="P1342" s="131"/>
      <c r="Q1342" s="131"/>
      <c r="R1342" s="131"/>
      <c r="S1342" s="131"/>
      <c r="T1342" s="131"/>
      <c r="U1342" s="131"/>
      <c r="V1342" s="131"/>
      <c r="W1342" s="131"/>
      <c r="X1342" s="131"/>
      <c r="Y1342" s="131"/>
      <c r="Z1342" s="131"/>
      <c r="AA1342" s="131"/>
      <c r="AB1342" s="131"/>
      <c r="AC1342" s="131"/>
    </row>
    <row r="1343" spans="2:29" x14ac:dyDescent="0.2">
      <c r="B1343" s="151"/>
      <c r="C1343" s="152"/>
      <c r="H1343" s="340"/>
      <c r="L1343" s="131"/>
      <c r="M1343" s="131"/>
      <c r="N1343" s="131"/>
      <c r="O1343" s="131"/>
      <c r="P1343" s="131"/>
      <c r="Q1343" s="131"/>
      <c r="R1343" s="131"/>
      <c r="S1343" s="131"/>
      <c r="T1343" s="131"/>
      <c r="U1343" s="131"/>
      <c r="V1343" s="131"/>
      <c r="W1343" s="131"/>
      <c r="X1343" s="131"/>
      <c r="Y1343" s="131"/>
      <c r="Z1343" s="131"/>
      <c r="AA1343" s="131"/>
      <c r="AB1343" s="131"/>
      <c r="AC1343" s="131"/>
    </row>
    <row r="1344" spans="2:29" x14ac:dyDescent="0.2">
      <c r="B1344" s="151"/>
      <c r="C1344" s="152"/>
      <c r="H1344" s="340"/>
      <c r="L1344" s="131"/>
      <c r="M1344" s="131"/>
      <c r="N1344" s="131"/>
      <c r="O1344" s="131"/>
      <c r="P1344" s="131"/>
      <c r="Q1344" s="131"/>
      <c r="R1344" s="131"/>
      <c r="S1344" s="131"/>
      <c r="T1344" s="131"/>
      <c r="U1344" s="131"/>
      <c r="V1344" s="131"/>
      <c r="W1344" s="131"/>
      <c r="X1344" s="131"/>
      <c r="Y1344" s="131"/>
      <c r="Z1344" s="131"/>
      <c r="AA1344" s="131"/>
      <c r="AB1344" s="131"/>
      <c r="AC1344" s="131"/>
    </row>
    <row r="1345" spans="2:29" x14ac:dyDescent="0.2">
      <c r="B1345" s="151"/>
      <c r="C1345" s="152"/>
      <c r="H1345" s="340"/>
      <c r="L1345" s="131"/>
      <c r="M1345" s="131"/>
      <c r="N1345" s="131"/>
      <c r="O1345" s="131"/>
      <c r="P1345" s="131"/>
      <c r="Q1345" s="131"/>
      <c r="R1345" s="131"/>
      <c r="S1345" s="131"/>
      <c r="T1345" s="131"/>
      <c r="U1345" s="131"/>
      <c r="V1345" s="131"/>
      <c r="W1345" s="131"/>
      <c r="X1345" s="131"/>
      <c r="Y1345" s="131"/>
      <c r="Z1345" s="131"/>
      <c r="AA1345" s="131"/>
      <c r="AB1345" s="131"/>
      <c r="AC1345" s="131"/>
    </row>
    <row r="1346" spans="2:29" x14ac:dyDescent="0.2">
      <c r="B1346" s="151"/>
      <c r="C1346" s="152"/>
      <c r="H1346" s="340"/>
      <c r="L1346" s="131"/>
      <c r="M1346" s="131"/>
      <c r="N1346" s="131"/>
      <c r="O1346" s="131"/>
      <c r="P1346" s="131"/>
      <c r="Q1346" s="131"/>
      <c r="R1346" s="131"/>
      <c r="S1346" s="131"/>
      <c r="T1346" s="131"/>
      <c r="U1346" s="131"/>
      <c r="V1346" s="131"/>
      <c r="W1346" s="131"/>
      <c r="X1346" s="131"/>
      <c r="Y1346" s="131"/>
      <c r="Z1346" s="131"/>
      <c r="AA1346" s="131"/>
      <c r="AB1346" s="131"/>
      <c r="AC1346" s="131"/>
    </row>
    <row r="1347" spans="2:29" x14ac:dyDescent="0.2">
      <c r="B1347" s="151"/>
      <c r="C1347" s="152"/>
      <c r="H1347" s="340"/>
      <c r="L1347" s="131"/>
      <c r="M1347" s="131"/>
      <c r="N1347" s="131"/>
      <c r="O1347" s="131"/>
      <c r="P1347" s="131"/>
      <c r="Q1347" s="131"/>
      <c r="R1347" s="131"/>
      <c r="S1347" s="131"/>
      <c r="T1347" s="131"/>
      <c r="U1347" s="131"/>
      <c r="V1347" s="131"/>
      <c r="W1347" s="131"/>
      <c r="X1347" s="131"/>
      <c r="Y1347" s="131"/>
      <c r="Z1347" s="131"/>
      <c r="AA1347" s="131"/>
      <c r="AB1347" s="131"/>
      <c r="AC1347" s="131"/>
    </row>
    <row r="1348" spans="2:29" x14ac:dyDescent="0.2">
      <c r="B1348" s="151"/>
      <c r="C1348" s="152"/>
      <c r="H1348" s="340"/>
      <c r="L1348" s="131"/>
      <c r="M1348" s="131"/>
      <c r="N1348" s="131"/>
      <c r="O1348" s="131"/>
      <c r="P1348" s="131"/>
      <c r="Q1348" s="131"/>
      <c r="R1348" s="131"/>
      <c r="S1348" s="131"/>
      <c r="T1348" s="131"/>
      <c r="U1348" s="131"/>
      <c r="V1348" s="131"/>
      <c r="W1348" s="131"/>
      <c r="X1348" s="131"/>
      <c r="Y1348" s="131"/>
      <c r="Z1348" s="131"/>
      <c r="AA1348" s="131"/>
      <c r="AB1348" s="131"/>
      <c r="AC1348" s="131"/>
    </row>
    <row r="1349" spans="2:29" x14ac:dyDescent="0.2">
      <c r="B1349" s="151"/>
      <c r="C1349" s="152"/>
      <c r="H1349" s="340"/>
      <c r="L1349" s="131"/>
      <c r="M1349" s="131"/>
      <c r="N1349" s="131"/>
      <c r="O1349" s="131"/>
      <c r="P1349" s="131"/>
      <c r="Q1349" s="131"/>
      <c r="R1349" s="131"/>
      <c r="S1349" s="131"/>
      <c r="T1349" s="131"/>
      <c r="U1349" s="131"/>
      <c r="V1349" s="131"/>
      <c r="W1349" s="131"/>
      <c r="X1349" s="131"/>
      <c r="Y1349" s="131"/>
      <c r="Z1349" s="131"/>
      <c r="AA1349" s="131"/>
      <c r="AB1349" s="131"/>
      <c r="AC1349" s="131"/>
    </row>
    <row r="1350" spans="2:29" x14ac:dyDescent="0.2">
      <c r="B1350" s="151"/>
      <c r="C1350" s="152"/>
      <c r="H1350" s="340"/>
      <c r="L1350" s="131"/>
      <c r="M1350" s="131"/>
      <c r="N1350" s="131"/>
      <c r="O1350" s="131"/>
      <c r="P1350" s="131"/>
      <c r="Q1350" s="131"/>
      <c r="R1350" s="131"/>
      <c r="S1350" s="131"/>
      <c r="T1350" s="131"/>
      <c r="U1350" s="131"/>
      <c r="V1350" s="131"/>
      <c r="W1350" s="131"/>
      <c r="X1350" s="131"/>
      <c r="Y1350" s="131"/>
      <c r="Z1350" s="131"/>
      <c r="AA1350" s="131"/>
      <c r="AB1350" s="131"/>
      <c r="AC1350" s="131"/>
    </row>
    <row r="1351" spans="2:29" x14ac:dyDescent="0.2">
      <c r="B1351" s="151"/>
      <c r="C1351" s="152"/>
      <c r="H1351" s="340"/>
      <c r="L1351" s="131"/>
      <c r="M1351" s="131"/>
      <c r="N1351" s="131"/>
      <c r="O1351" s="131"/>
      <c r="P1351" s="131"/>
      <c r="Q1351" s="131"/>
      <c r="R1351" s="131"/>
      <c r="S1351" s="131"/>
      <c r="T1351" s="131"/>
      <c r="U1351" s="131"/>
      <c r="V1351" s="131"/>
      <c r="W1351" s="131"/>
      <c r="X1351" s="131"/>
      <c r="Y1351" s="131"/>
      <c r="Z1351" s="131"/>
      <c r="AA1351" s="131"/>
      <c r="AB1351" s="131"/>
      <c r="AC1351" s="131"/>
    </row>
    <row r="1352" spans="2:29" x14ac:dyDescent="0.2">
      <c r="B1352" s="151"/>
      <c r="C1352" s="152"/>
      <c r="H1352" s="340"/>
      <c r="L1352" s="131"/>
      <c r="M1352" s="131"/>
      <c r="N1352" s="131"/>
      <c r="O1352" s="131"/>
      <c r="P1352" s="131"/>
      <c r="Q1352" s="131"/>
      <c r="R1352" s="131"/>
      <c r="S1352" s="131"/>
      <c r="T1352" s="131"/>
      <c r="U1352" s="131"/>
      <c r="V1352" s="131"/>
      <c r="W1352" s="131"/>
      <c r="X1352" s="131"/>
      <c r="Y1352" s="131"/>
      <c r="Z1352" s="131"/>
      <c r="AA1352" s="131"/>
      <c r="AB1352" s="131"/>
      <c r="AC1352" s="131"/>
    </row>
    <row r="1353" spans="2:29" x14ac:dyDescent="0.2">
      <c r="B1353" s="151"/>
      <c r="C1353" s="152"/>
      <c r="H1353" s="340"/>
      <c r="L1353" s="131"/>
      <c r="M1353" s="131"/>
      <c r="N1353" s="131"/>
      <c r="O1353" s="131"/>
      <c r="P1353" s="131"/>
      <c r="Q1353" s="131"/>
      <c r="R1353" s="131"/>
      <c r="S1353" s="131"/>
      <c r="T1353" s="131"/>
      <c r="U1353" s="131"/>
      <c r="V1353" s="131"/>
      <c r="W1353" s="131"/>
      <c r="X1353" s="131"/>
      <c r="Y1353" s="131"/>
      <c r="Z1353" s="131"/>
      <c r="AA1353" s="131"/>
      <c r="AB1353" s="131"/>
      <c r="AC1353" s="131"/>
    </row>
    <row r="1354" spans="2:29" x14ac:dyDescent="0.2">
      <c r="B1354" s="151"/>
      <c r="C1354" s="152"/>
      <c r="H1354" s="340"/>
      <c r="L1354" s="131"/>
      <c r="M1354" s="131"/>
      <c r="N1354" s="131"/>
      <c r="O1354" s="131"/>
      <c r="P1354" s="131"/>
      <c r="Q1354" s="131"/>
      <c r="R1354" s="131"/>
      <c r="S1354" s="131"/>
      <c r="T1354" s="131"/>
      <c r="U1354" s="131"/>
      <c r="V1354" s="131"/>
      <c r="W1354" s="131"/>
      <c r="X1354" s="131"/>
      <c r="Y1354" s="131"/>
      <c r="Z1354" s="131"/>
      <c r="AA1354" s="131"/>
      <c r="AB1354" s="131"/>
      <c r="AC1354" s="131"/>
    </row>
    <row r="1355" spans="2:29" x14ac:dyDescent="0.2">
      <c r="B1355" s="151"/>
      <c r="C1355" s="152"/>
      <c r="H1355" s="340"/>
      <c r="L1355" s="131"/>
      <c r="M1355" s="131"/>
      <c r="N1355" s="131"/>
      <c r="O1355" s="131"/>
      <c r="P1355" s="131"/>
      <c r="Q1355" s="131"/>
      <c r="R1355" s="131"/>
      <c r="S1355" s="131"/>
      <c r="T1355" s="131"/>
      <c r="U1355" s="131"/>
      <c r="V1355" s="131"/>
      <c r="W1355" s="131"/>
      <c r="X1355" s="131"/>
      <c r="Y1355" s="131"/>
      <c r="Z1355" s="131"/>
      <c r="AA1355" s="131"/>
      <c r="AB1355" s="131"/>
      <c r="AC1355" s="131"/>
    </row>
    <row r="1356" spans="2:29" x14ac:dyDescent="0.2">
      <c r="B1356" s="151"/>
      <c r="C1356" s="152"/>
      <c r="H1356" s="340"/>
      <c r="L1356" s="131"/>
      <c r="M1356" s="131"/>
      <c r="N1356" s="131"/>
      <c r="O1356" s="131"/>
      <c r="P1356" s="131"/>
      <c r="Q1356" s="131"/>
      <c r="R1356" s="131"/>
      <c r="S1356" s="131"/>
      <c r="T1356" s="131"/>
      <c r="U1356" s="131"/>
      <c r="V1356" s="131"/>
      <c r="W1356" s="131"/>
      <c r="X1356" s="131"/>
      <c r="Y1356" s="131"/>
      <c r="Z1356" s="131"/>
      <c r="AA1356" s="131"/>
      <c r="AB1356" s="131"/>
      <c r="AC1356" s="131"/>
    </row>
    <row r="1357" spans="2:29" x14ac:dyDescent="0.2">
      <c r="B1357" s="151"/>
      <c r="C1357" s="152"/>
      <c r="H1357" s="340"/>
      <c r="L1357" s="131"/>
      <c r="M1357" s="131"/>
      <c r="N1357" s="131"/>
      <c r="O1357" s="131"/>
      <c r="P1357" s="131"/>
      <c r="Q1357" s="131"/>
      <c r="R1357" s="131"/>
      <c r="S1357" s="131"/>
      <c r="T1357" s="131"/>
      <c r="U1357" s="131"/>
      <c r="V1357" s="131"/>
      <c r="W1357" s="131"/>
      <c r="X1357" s="131"/>
      <c r="Y1357" s="131"/>
      <c r="Z1357" s="131"/>
      <c r="AA1357" s="131"/>
      <c r="AB1357" s="131"/>
      <c r="AC1357" s="131"/>
    </row>
    <row r="1358" spans="2:29" x14ac:dyDescent="0.2">
      <c r="B1358" s="151"/>
      <c r="C1358" s="152"/>
      <c r="H1358" s="340"/>
      <c r="L1358" s="131"/>
      <c r="M1358" s="131"/>
      <c r="N1358" s="131"/>
      <c r="O1358" s="131"/>
      <c r="P1358" s="131"/>
      <c r="Q1358" s="131"/>
      <c r="R1358" s="131"/>
      <c r="S1358" s="131"/>
      <c r="T1358" s="131"/>
      <c r="U1358" s="131"/>
      <c r="V1358" s="131"/>
      <c r="W1358" s="131"/>
      <c r="X1358" s="131"/>
      <c r="Y1358" s="131"/>
      <c r="Z1358" s="131"/>
      <c r="AA1358" s="131"/>
      <c r="AB1358" s="131"/>
      <c r="AC1358" s="131"/>
    </row>
    <row r="1359" spans="2:29" x14ac:dyDescent="0.2">
      <c r="B1359" s="151"/>
      <c r="C1359" s="152"/>
      <c r="H1359" s="340"/>
      <c r="L1359" s="131"/>
      <c r="M1359" s="131"/>
      <c r="N1359" s="131"/>
      <c r="O1359" s="131"/>
      <c r="P1359" s="131"/>
      <c r="Q1359" s="131"/>
      <c r="R1359" s="131"/>
      <c r="S1359" s="131"/>
      <c r="T1359" s="131"/>
      <c r="U1359" s="131"/>
      <c r="V1359" s="131"/>
      <c r="W1359" s="131"/>
      <c r="X1359" s="131"/>
      <c r="Y1359" s="131"/>
      <c r="Z1359" s="131"/>
      <c r="AA1359" s="131"/>
      <c r="AB1359" s="131"/>
      <c r="AC1359" s="131"/>
    </row>
    <row r="1360" spans="2:29" x14ac:dyDescent="0.2">
      <c r="B1360" s="151"/>
      <c r="C1360" s="152"/>
      <c r="H1360" s="340"/>
      <c r="L1360" s="131"/>
      <c r="M1360" s="131"/>
      <c r="N1360" s="131"/>
      <c r="O1360" s="131"/>
      <c r="P1360" s="131"/>
      <c r="Q1360" s="131"/>
      <c r="R1360" s="131"/>
      <c r="S1360" s="131"/>
      <c r="T1360" s="131"/>
      <c r="U1360" s="131"/>
      <c r="V1360" s="131"/>
      <c r="W1360" s="131"/>
      <c r="X1360" s="131"/>
      <c r="Y1360" s="131"/>
      <c r="Z1360" s="131"/>
      <c r="AA1360" s="131"/>
      <c r="AB1360" s="131"/>
      <c r="AC1360" s="131"/>
    </row>
    <row r="1361" spans="2:29" x14ac:dyDescent="0.2">
      <c r="B1361" s="151"/>
      <c r="C1361" s="152"/>
      <c r="H1361" s="340"/>
      <c r="L1361" s="131"/>
      <c r="M1361" s="131"/>
      <c r="N1361" s="131"/>
      <c r="O1361" s="131"/>
      <c r="P1361" s="131"/>
      <c r="Q1361" s="131"/>
      <c r="R1361" s="131"/>
      <c r="S1361" s="131"/>
      <c r="T1361" s="131"/>
      <c r="U1361" s="131"/>
      <c r="V1361" s="131"/>
      <c r="W1361" s="131"/>
      <c r="X1361" s="131"/>
      <c r="Y1361" s="131"/>
      <c r="Z1361" s="131"/>
      <c r="AA1361" s="131"/>
      <c r="AB1361" s="131"/>
      <c r="AC1361" s="131"/>
    </row>
    <row r="1362" spans="2:29" x14ac:dyDescent="0.2">
      <c r="B1362" s="151"/>
      <c r="C1362" s="152"/>
      <c r="H1362" s="340"/>
      <c r="L1362" s="131"/>
      <c r="M1362" s="131"/>
      <c r="N1362" s="131"/>
      <c r="O1362" s="131"/>
      <c r="P1362" s="131"/>
      <c r="Q1362" s="131"/>
      <c r="R1362" s="131"/>
      <c r="S1362" s="131"/>
      <c r="T1362" s="131"/>
      <c r="U1362" s="131"/>
      <c r="V1362" s="131"/>
      <c r="W1362" s="131"/>
      <c r="X1362" s="131"/>
      <c r="Y1362" s="131"/>
      <c r="Z1362" s="131"/>
      <c r="AA1362" s="131"/>
      <c r="AB1362" s="131"/>
      <c r="AC1362" s="131"/>
    </row>
    <row r="1363" spans="2:29" x14ac:dyDescent="0.2">
      <c r="B1363" s="151"/>
      <c r="C1363" s="152"/>
      <c r="H1363" s="340"/>
      <c r="L1363" s="131"/>
      <c r="M1363" s="131"/>
      <c r="N1363" s="131"/>
      <c r="O1363" s="131"/>
      <c r="P1363" s="131"/>
      <c r="Q1363" s="131"/>
      <c r="R1363" s="131"/>
      <c r="S1363" s="131"/>
      <c r="T1363" s="131"/>
      <c r="U1363" s="131"/>
      <c r="V1363" s="131"/>
      <c r="W1363" s="131"/>
      <c r="X1363" s="131"/>
      <c r="Y1363" s="131"/>
      <c r="Z1363" s="131"/>
      <c r="AA1363" s="131"/>
      <c r="AB1363" s="131"/>
      <c r="AC1363" s="131"/>
    </row>
    <row r="1364" spans="2:29" x14ac:dyDescent="0.2">
      <c r="B1364" s="151"/>
      <c r="C1364" s="152"/>
      <c r="H1364" s="340"/>
      <c r="L1364" s="131"/>
      <c r="M1364" s="131"/>
      <c r="N1364" s="131"/>
      <c r="O1364" s="131"/>
      <c r="P1364" s="131"/>
      <c r="Q1364" s="131"/>
      <c r="R1364" s="131"/>
      <c r="S1364" s="131"/>
      <c r="T1364" s="131"/>
      <c r="U1364" s="131"/>
      <c r="V1364" s="131"/>
      <c r="W1364" s="131"/>
      <c r="X1364" s="131"/>
      <c r="Y1364" s="131"/>
      <c r="Z1364" s="131"/>
      <c r="AA1364" s="131"/>
      <c r="AB1364" s="131"/>
      <c r="AC1364" s="131"/>
    </row>
    <row r="1365" spans="2:29" x14ac:dyDescent="0.2">
      <c r="B1365" s="151"/>
      <c r="C1365" s="152"/>
      <c r="H1365" s="340"/>
      <c r="L1365" s="131"/>
      <c r="M1365" s="131"/>
      <c r="N1365" s="131"/>
      <c r="O1365" s="131"/>
      <c r="P1365" s="131"/>
      <c r="Q1365" s="131"/>
      <c r="R1365" s="131"/>
      <c r="S1365" s="131"/>
      <c r="T1365" s="131"/>
      <c r="U1365" s="131"/>
      <c r="V1365" s="131"/>
      <c r="W1365" s="131"/>
      <c r="X1365" s="131"/>
      <c r="Y1365" s="131"/>
      <c r="Z1365" s="131"/>
      <c r="AA1365" s="131"/>
      <c r="AB1365" s="131"/>
      <c r="AC1365" s="131"/>
    </row>
    <row r="1366" spans="2:29" x14ac:dyDescent="0.2">
      <c r="B1366" s="151"/>
      <c r="C1366" s="152"/>
      <c r="H1366" s="340"/>
      <c r="L1366" s="131"/>
      <c r="M1366" s="131"/>
      <c r="N1366" s="131"/>
      <c r="O1366" s="131"/>
      <c r="P1366" s="131"/>
      <c r="Q1366" s="131"/>
      <c r="R1366" s="131"/>
      <c r="S1366" s="131"/>
      <c r="T1366" s="131"/>
      <c r="U1366" s="131"/>
      <c r="V1366" s="131"/>
      <c r="W1366" s="131"/>
      <c r="X1366" s="131"/>
      <c r="Y1366" s="131"/>
      <c r="Z1366" s="131"/>
      <c r="AA1366" s="131"/>
      <c r="AB1366" s="131"/>
      <c r="AC1366" s="131"/>
    </row>
    <row r="1367" spans="2:29" x14ac:dyDescent="0.2">
      <c r="B1367" s="151"/>
      <c r="C1367" s="152"/>
      <c r="H1367" s="340"/>
      <c r="L1367" s="131"/>
      <c r="M1367" s="131"/>
      <c r="N1367" s="131"/>
      <c r="O1367" s="131"/>
      <c r="P1367" s="131"/>
      <c r="Q1367" s="131"/>
      <c r="R1367" s="131"/>
      <c r="S1367" s="131"/>
      <c r="T1367" s="131"/>
      <c r="U1367" s="131"/>
      <c r="V1367" s="131"/>
      <c r="W1367" s="131"/>
      <c r="X1367" s="131"/>
      <c r="Y1367" s="131"/>
      <c r="Z1367" s="131"/>
      <c r="AA1367" s="131"/>
      <c r="AB1367" s="131"/>
      <c r="AC1367" s="131"/>
    </row>
    <row r="1368" spans="2:29" x14ac:dyDescent="0.2">
      <c r="B1368" s="151"/>
      <c r="C1368" s="152"/>
      <c r="H1368" s="340"/>
      <c r="L1368" s="131"/>
      <c r="M1368" s="131"/>
      <c r="N1368" s="131"/>
      <c r="O1368" s="131"/>
      <c r="P1368" s="131"/>
      <c r="Q1368" s="131"/>
      <c r="R1368" s="131"/>
      <c r="S1368" s="131"/>
      <c r="T1368" s="131"/>
      <c r="U1368" s="131"/>
      <c r="V1368" s="131"/>
      <c r="W1368" s="131"/>
      <c r="X1368" s="131"/>
      <c r="Y1368" s="131"/>
      <c r="Z1368" s="131"/>
      <c r="AA1368" s="131"/>
      <c r="AB1368" s="131"/>
      <c r="AC1368" s="131"/>
    </row>
    <row r="1369" spans="2:29" x14ac:dyDescent="0.2">
      <c r="B1369" s="151"/>
      <c r="C1369" s="152"/>
      <c r="H1369" s="340"/>
      <c r="L1369" s="131"/>
      <c r="M1369" s="131"/>
      <c r="N1369" s="131"/>
      <c r="O1369" s="131"/>
      <c r="P1369" s="131"/>
      <c r="Q1369" s="131"/>
      <c r="R1369" s="131"/>
      <c r="S1369" s="131"/>
      <c r="T1369" s="131"/>
      <c r="U1369" s="131"/>
      <c r="V1369" s="131"/>
      <c r="W1369" s="131"/>
      <c r="X1369" s="131"/>
      <c r="Y1369" s="131"/>
      <c r="Z1369" s="131"/>
      <c r="AA1369" s="131"/>
      <c r="AB1369" s="131"/>
      <c r="AC1369" s="131"/>
    </row>
    <row r="1370" spans="2:29" x14ac:dyDescent="0.2">
      <c r="B1370" s="151"/>
      <c r="C1370" s="152"/>
      <c r="H1370" s="340"/>
      <c r="L1370" s="131"/>
      <c r="M1370" s="131"/>
      <c r="N1370" s="131"/>
      <c r="O1370" s="131"/>
      <c r="P1370" s="131"/>
      <c r="Q1370" s="131"/>
      <c r="R1370" s="131"/>
      <c r="S1370" s="131"/>
      <c r="T1370" s="131"/>
      <c r="U1370" s="131"/>
      <c r="V1370" s="131"/>
      <c r="W1370" s="131"/>
      <c r="X1370" s="131"/>
      <c r="Y1370" s="131"/>
      <c r="Z1370" s="131"/>
      <c r="AA1370" s="131"/>
      <c r="AB1370" s="131"/>
      <c r="AC1370" s="131"/>
    </row>
    <row r="1371" spans="2:29" x14ac:dyDescent="0.2">
      <c r="B1371" s="151"/>
      <c r="C1371" s="152"/>
      <c r="H1371" s="340"/>
      <c r="L1371" s="131"/>
      <c r="M1371" s="131"/>
      <c r="N1371" s="131"/>
      <c r="O1371" s="131"/>
      <c r="P1371" s="131"/>
      <c r="Q1371" s="131"/>
      <c r="R1371" s="131"/>
      <c r="S1371" s="131"/>
      <c r="T1371" s="131"/>
      <c r="U1371" s="131"/>
      <c r="V1371" s="131"/>
      <c r="W1371" s="131"/>
      <c r="X1371" s="131"/>
      <c r="Y1371" s="131"/>
      <c r="Z1371" s="131"/>
      <c r="AA1371" s="131"/>
      <c r="AB1371" s="131"/>
      <c r="AC1371" s="131"/>
    </row>
    <row r="1372" spans="2:29" x14ac:dyDescent="0.2">
      <c r="B1372" s="151"/>
      <c r="C1372" s="152"/>
      <c r="H1372" s="340"/>
      <c r="L1372" s="131"/>
      <c r="M1372" s="131"/>
      <c r="N1372" s="131"/>
      <c r="O1372" s="131"/>
      <c r="P1372" s="131"/>
      <c r="Q1372" s="131"/>
      <c r="R1372" s="131"/>
      <c r="S1372" s="131"/>
      <c r="T1372" s="131"/>
      <c r="U1372" s="131"/>
      <c r="V1372" s="131"/>
      <c r="W1372" s="131"/>
      <c r="X1372" s="131"/>
      <c r="Y1372" s="131"/>
      <c r="Z1372" s="131"/>
      <c r="AA1372" s="131"/>
      <c r="AB1372" s="131"/>
      <c r="AC1372" s="131"/>
    </row>
    <row r="1373" spans="2:29" x14ac:dyDescent="0.2">
      <c r="B1373" s="151"/>
      <c r="C1373" s="152"/>
      <c r="H1373" s="340"/>
      <c r="L1373" s="131"/>
      <c r="M1373" s="131"/>
      <c r="N1373" s="131"/>
      <c r="O1373" s="131"/>
      <c r="P1373" s="131"/>
      <c r="Q1373" s="131"/>
      <c r="R1373" s="131"/>
      <c r="S1373" s="131"/>
      <c r="T1373" s="131"/>
      <c r="U1373" s="131"/>
      <c r="V1373" s="131"/>
      <c r="W1373" s="131"/>
      <c r="X1373" s="131"/>
      <c r="Y1373" s="131"/>
      <c r="Z1373" s="131"/>
      <c r="AA1373" s="131"/>
      <c r="AB1373" s="131"/>
      <c r="AC1373" s="131"/>
    </row>
    <row r="1374" spans="2:29" x14ac:dyDescent="0.2">
      <c r="B1374" s="151"/>
      <c r="C1374" s="152"/>
      <c r="H1374" s="340"/>
      <c r="L1374" s="131"/>
      <c r="M1374" s="131"/>
      <c r="N1374" s="131"/>
      <c r="O1374" s="131"/>
      <c r="P1374" s="131"/>
      <c r="Q1374" s="131"/>
      <c r="R1374" s="131"/>
      <c r="S1374" s="131"/>
      <c r="T1374" s="131"/>
      <c r="U1374" s="131"/>
      <c r="V1374" s="131"/>
      <c r="W1374" s="131"/>
      <c r="X1374" s="131"/>
      <c r="Y1374" s="131"/>
      <c r="Z1374" s="131"/>
      <c r="AA1374" s="131"/>
      <c r="AB1374" s="131"/>
      <c r="AC1374" s="131"/>
    </row>
    <row r="1375" spans="2:29" x14ac:dyDescent="0.2">
      <c r="B1375" s="151"/>
      <c r="C1375" s="152"/>
      <c r="H1375" s="340"/>
      <c r="L1375" s="131"/>
      <c r="M1375" s="131"/>
      <c r="N1375" s="131"/>
      <c r="O1375" s="131"/>
      <c r="P1375" s="131"/>
      <c r="Q1375" s="131"/>
      <c r="R1375" s="131"/>
      <c r="S1375" s="131"/>
      <c r="T1375" s="131"/>
      <c r="U1375" s="131"/>
      <c r="V1375" s="131"/>
      <c r="W1375" s="131"/>
      <c r="X1375" s="131"/>
      <c r="Y1375" s="131"/>
      <c r="Z1375" s="131"/>
      <c r="AA1375" s="131"/>
      <c r="AB1375" s="131"/>
      <c r="AC1375" s="131"/>
    </row>
    <row r="1376" spans="2:29" x14ac:dyDescent="0.2">
      <c r="B1376" s="151"/>
      <c r="C1376" s="152"/>
      <c r="H1376" s="340"/>
      <c r="L1376" s="131"/>
      <c r="M1376" s="131"/>
      <c r="N1376" s="131"/>
      <c r="O1376" s="131"/>
      <c r="P1376" s="131"/>
      <c r="Q1376" s="131"/>
      <c r="R1376" s="131"/>
      <c r="S1376" s="131"/>
      <c r="T1376" s="131"/>
      <c r="U1376" s="131"/>
      <c r="V1376" s="131"/>
      <c r="W1376" s="131"/>
      <c r="X1376" s="131"/>
      <c r="Y1376" s="131"/>
      <c r="Z1376" s="131"/>
      <c r="AA1376" s="131"/>
      <c r="AB1376" s="131"/>
      <c r="AC1376" s="131"/>
    </row>
    <row r="1377" spans="2:29" x14ac:dyDescent="0.2">
      <c r="B1377" s="151"/>
      <c r="C1377" s="152"/>
      <c r="H1377" s="340"/>
      <c r="L1377" s="131"/>
      <c r="M1377" s="131"/>
      <c r="N1377" s="131"/>
      <c r="O1377" s="131"/>
      <c r="P1377" s="131"/>
      <c r="Q1377" s="131"/>
      <c r="R1377" s="131"/>
      <c r="S1377" s="131"/>
      <c r="T1377" s="131"/>
      <c r="U1377" s="131"/>
      <c r="V1377" s="131"/>
      <c r="W1377" s="131"/>
      <c r="X1377" s="131"/>
      <c r="Y1377" s="131"/>
      <c r="Z1377" s="131"/>
      <c r="AA1377" s="131"/>
      <c r="AB1377" s="131"/>
      <c r="AC1377" s="131"/>
    </row>
    <row r="1378" spans="2:29" x14ac:dyDescent="0.2">
      <c r="B1378" s="151"/>
      <c r="C1378" s="152"/>
      <c r="H1378" s="340"/>
      <c r="L1378" s="131"/>
      <c r="M1378" s="131"/>
      <c r="N1378" s="131"/>
      <c r="O1378" s="131"/>
      <c r="P1378" s="131"/>
      <c r="Q1378" s="131"/>
      <c r="R1378" s="131"/>
      <c r="S1378" s="131"/>
      <c r="T1378" s="131"/>
      <c r="U1378" s="131"/>
      <c r="V1378" s="131"/>
      <c r="W1378" s="131"/>
      <c r="X1378" s="131"/>
      <c r="Y1378" s="131"/>
      <c r="Z1378" s="131"/>
      <c r="AA1378" s="131"/>
      <c r="AB1378" s="131"/>
      <c r="AC1378" s="131"/>
    </row>
    <row r="1379" spans="2:29" x14ac:dyDescent="0.2">
      <c r="B1379" s="151"/>
      <c r="C1379" s="152"/>
      <c r="H1379" s="340"/>
      <c r="L1379" s="131"/>
      <c r="M1379" s="131"/>
      <c r="N1379" s="131"/>
      <c r="O1379" s="131"/>
      <c r="P1379" s="131"/>
      <c r="Q1379" s="131"/>
      <c r="R1379" s="131"/>
      <c r="S1379" s="131"/>
      <c r="T1379" s="131"/>
      <c r="U1379" s="131"/>
      <c r="V1379" s="131"/>
      <c r="W1379" s="131"/>
      <c r="X1379" s="131"/>
      <c r="Y1379" s="131"/>
      <c r="Z1379" s="131"/>
      <c r="AA1379" s="131"/>
      <c r="AB1379" s="131"/>
      <c r="AC1379" s="131"/>
    </row>
    <row r="1380" spans="2:29" x14ac:dyDescent="0.2">
      <c r="B1380" s="151"/>
      <c r="C1380" s="152"/>
      <c r="H1380" s="340"/>
      <c r="L1380" s="131"/>
      <c r="M1380" s="131"/>
      <c r="N1380" s="131"/>
      <c r="O1380" s="131"/>
      <c r="P1380" s="131"/>
      <c r="Q1380" s="131"/>
      <c r="R1380" s="131"/>
      <c r="S1380" s="131"/>
      <c r="T1380" s="131"/>
      <c r="U1380" s="131"/>
      <c r="V1380" s="131"/>
      <c r="W1380" s="131"/>
      <c r="X1380" s="131"/>
      <c r="Y1380" s="131"/>
      <c r="Z1380" s="131"/>
      <c r="AA1380" s="131"/>
      <c r="AB1380" s="131"/>
      <c r="AC1380" s="131"/>
    </row>
    <row r="1381" spans="2:29" x14ac:dyDescent="0.2">
      <c r="B1381" s="151"/>
      <c r="C1381" s="152"/>
      <c r="H1381" s="340"/>
      <c r="L1381" s="131"/>
      <c r="M1381" s="131"/>
      <c r="N1381" s="131"/>
      <c r="O1381" s="131"/>
      <c r="P1381" s="131"/>
      <c r="Q1381" s="131"/>
      <c r="R1381" s="131"/>
      <c r="S1381" s="131"/>
      <c r="T1381" s="131"/>
      <c r="U1381" s="131"/>
      <c r="V1381" s="131"/>
      <c r="W1381" s="131"/>
      <c r="X1381" s="131"/>
      <c r="Y1381" s="131"/>
      <c r="Z1381" s="131"/>
      <c r="AA1381" s="131"/>
      <c r="AB1381" s="131"/>
      <c r="AC1381" s="131"/>
    </row>
    <row r="1382" spans="2:29" x14ac:dyDescent="0.2">
      <c r="B1382" s="151"/>
      <c r="C1382" s="152"/>
      <c r="H1382" s="340"/>
      <c r="L1382" s="131"/>
      <c r="M1382" s="131"/>
      <c r="N1382" s="131"/>
      <c r="O1382" s="131"/>
      <c r="P1382" s="131"/>
      <c r="Q1382" s="131"/>
      <c r="R1382" s="131"/>
      <c r="S1382" s="131"/>
      <c r="T1382" s="131"/>
      <c r="U1382" s="131"/>
      <c r="V1382" s="131"/>
      <c r="W1382" s="131"/>
      <c r="X1382" s="131"/>
      <c r="Y1382" s="131"/>
      <c r="Z1382" s="131"/>
      <c r="AA1382" s="131"/>
      <c r="AB1382" s="131"/>
      <c r="AC1382" s="131"/>
    </row>
    <row r="1383" spans="2:29" x14ac:dyDescent="0.2">
      <c r="B1383" s="151"/>
      <c r="C1383" s="152"/>
      <c r="H1383" s="340"/>
      <c r="L1383" s="131"/>
      <c r="M1383" s="131"/>
      <c r="N1383" s="131"/>
      <c r="O1383" s="131"/>
      <c r="P1383" s="131"/>
      <c r="Q1383" s="131"/>
      <c r="R1383" s="131"/>
      <c r="S1383" s="131"/>
      <c r="T1383" s="131"/>
      <c r="U1383" s="131"/>
      <c r="V1383" s="131"/>
      <c r="W1383" s="131"/>
      <c r="X1383" s="131"/>
      <c r="Y1383" s="131"/>
      <c r="Z1383" s="131"/>
      <c r="AA1383" s="131"/>
      <c r="AB1383" s="131"/>
      <c r="AC1383" s="131"/>
    </row>
    <row r="1384" spans="2:29" x14ac:dyDescent="0.2">
      <c r="B1384" s="151"/>
      <c r="C1384" s="152"/>
      <c r="H1384" s="340"/>
      <c r="L1384" s="131"/>
      <c r="M1384" s="131"/>
      <c r="N1384" s="131"/>
      <c r="O1384" s="131"/>
      <c r="P1384" s="131"/>
      <c r="Q1384" s="131"/>
      <c r="R1384" s="131"/>
      <c r="S1384" s="131"/>
      <c r="T1384" s="131"/>
      <c r="U1384" s="131"/>
      <c r="V1384" s="131"/>
      <c r="W1384" s="131"/>
      <c r="X1384" s="131"/>
      <c r="Y1384" s="131"/>
      <c r="Z1384" s="131"/>
      <c r="AA1384" s="131"/>
      <c r="AB1384" s="131"/>
      <c r="AC1384" s="131"/>
    </row>
    <row r="1385" spans="2:29" x14ac:dyDescent="0.2">
      <c r="B1385" s="151"/>
      <c r="C1385" s="152"/>
      <c r="H1385" s="340"/>
      <c r="L1385" s="131"/>
      <c r="M1385" s="131"/>
      <c r="N1385" s="131"/>
      <c r="O1385" s="131"/>
      <c r="P1385" s="131"/>
      <c r="Q1385" s="131"/>
      <c r="R1385" s="131"/>
      <c r="S1385" s="131"/>
      <c r="T1385" s="131"/>
      <c r="U1385" s="131"/>
      <c r="V1385" s="131"/>
      <c r="W1385" s="131"/>
      <c r="X1385" s="131"/>
      <c r="Y1385" s="131"/>
      <c r="Z1385" s="131"/>
      <c r="AA1385" s="131"/>
      <c r="AB1385" s="131"/>
      <c r="AC1385" s="131"/>
    </row>
    <row r="1386" spans="2:29" x14ac:dyDescent="0.2">
      <c r="B1386" s="151"/>
      <c r="C1386" s="152"/>
      <c r="H1386" s="340"/>
      <c r="L1386" s="131"/>
      <c r="M1386" s="131"/>
      <c r="N1386" s="131"/>
      <c r="O1386" s="131"/>
      <c r="P1386" s="131"/>
      <c r="Q1386" s="131"/>
      <c r="R1386" s="131"/>
      <c r="S1386" s="131"/>
      <c r="T1386" s="131"/>
      <c r="U1386" s="131"/>
      <c r="V1386" s="131"/>
      <c r="W1386" s="131"/>
      <c r="X1386" s="131"/>
      <c r="Y1386" s="131"/>
      <c r="Z1386" s="131"/>
      <c r="AA1386" s="131"/>
      <c r="AB1386" s="131"/>
      <c r="AC1386" s="131"/>
    </row>
    <row r="1387" spans="2:29" x14ac:dyDescent="0.2">
      <c r="B1387" s="151"/>
      <c r="C1387" s="152"/>
      <c r="H1387" s="340"/>
      <c r="L1387" s="131"/>
      <c r="M1387" s="131"/>
      <c r="N1387" s="131"/>
      <c r="O1387" s="131"/>
      <c r="P1387" s="131"/>
      <c r="Q1387" s="131"/>
      <c r="R1387" s="131"/>
      <c r="S1387" s="131"/>
      <c r="T1387" s="131"/>
      <c r="U1387" s="131"/>
      <c r="V1387" s="131"/>
      <c r="W1387" s="131"/>
      <c r="X1387" s="131"/>
      <c r="Y1387" s="131"/>
      <c r="Z1387" s="131"/>
      <c r="AA1387" s="131"/>
      <c r="AB1387" s="131"/>
      <c r="AC1387" s="131"/>
    </row>
    <row r="1388" spans="2:29" x14ac:dyDescent="0.2">
      <c r="B1388" s="151"/>
      <c r="C1388" s="152"/>
      <c r="H1388" s="340"/>
      <c r="L1388" s="131"/>
      <c r="M1388" s="131"/>
      <c r="N1388" s="131"/>
      <c r="O1388" s="131"/>
      <c r="P1388" s="131"/>
      <c r="Q1388" s="131"/>
      <c r="R1388" s="131"/>
      <c r="S1388" s="131"/>
      <c r="T1388" s="131"/>
      <c r="U1388" s="131"/>
      <c r="V1388" s="131"/>
      <c r="W1388" s="131"/>
      <c r="X1388" s="131"/>
      <c r="Y1388" s="131"/>
      <c r="Z1388" s="131"/>
      <c r="AA1388" s="131"/>
      <c r="AB1388" s="131"/>
      <c r="AC1388" s="131"/>
    </row>
    <row r="1389" spans="2:29" x14ac:dyDescent="0.2">
      <c r="B1389" s="151"/>
      <c r="C1389" s="152"/>
      <c r="H1389" s="340"/>
      <c r="L1389" s="131"/>
      <c r="M1389" s="131"/>
      <c r="N1389" s="131"/>
      <c r="O1389" s="131"/>
      <c r="P1389" s="131"/>
      <c r="Q1389" s="131"/>
      <c r="R1389" s="131"/>
      <c r="S1389" s="131"/>
      <c r="T1389" s="131"/>
      <c r="U1389" s="131"/>
      <c r="V1389" s="131"/>
      <c r="W1389" s="131"/>
      <c r="X1389" s="131"/>
      <c r="Y1389" s="131"/>
      <c r="Z1389" s="131"/>
      <c r="AA1389" s="131"/>
      <c r="AB1389" s="131"/>
      <c r="AC1389" s="131"/>
    </row>
    <row r="1390" spans="2:29" x14ac:dyDescent="0.2">
      <c r="B1390" s="151"/>
      <c r="C1390" s="152"/>
      <c r="H1390" s="340"/>
      <c r="L1390" s="131"/>
      <c r="M1390" s="131"/>
      <c r="N1390" s="131"/>
      <c r="O1390" s="131"/>
      <c r="P1390" s="131"/>
      <c r="Q1390" s="131"/>
      <c r="R1390" s="131"/>
      <c r="S1390" s="131"/>
      <c r="T1390" s="131"/>
      <c r="U1390" s="131"/>
      <c r="V1390" s="131"/>
      <c r="W1390" s="131"/>
      <c r="X1390" s="131"/>
      <c r="Y1390" s="131"/>
      <c r="Z1390" s="131"/>
      <c r="AA1390" s="131"/>
      <c r="AB1390" s="131"/>
      <c r="AC1390" s="131"/>
    </row>
    <row r="1391" spans="2:29" x14ac:dyDescent="0.2">
      <c r="B1391" s="151"/>
      <c r="C1391" s="152"/>
      <c r="H1391" s="340"/>
      <c r="L1391" s="131"/>
      <c r="M1391" s="131"/>
      <c r="N1391" s="131"/>
      <c r="O1391" s="131"/>
      <c r="P1391" s="131"/>
      <c r="Q1391" s="131"/>
      <c r="R1391" s="131"/>
      <c r="S1391" s="131"/>
      <c r="T1391" s="131"/>
      <c r="U1391" s="131"/>
      <c r="V1391" s="131"/>
      <c r="W1391" s="131"/>
      <c r="X1391" s="131"/>
      <c r="Y1391" s="131"/>
      <c r="Z1391" s="131"/>
      <c r="AA1391" s="131"/>
      <c r="AB1391" s="131"/>
      <c r="AC1391" s="131"/>
    </row>
    <row r="1392" spans="2:29" x14ac:dyDescent="0.2">
      <c r="B1392" s="151"/>
      <c r="C1392" s="152"/>
      <c r="H1392" s="340"/>
      <c r="L1392" s="131"/>
      <c r="M1392" s="131"/>
      <c r="N1392" s="131"/>
      <c r="O1392" s="131"/>
      <c r="P1392" s="131"/>
      <c r="Q1392" s="131"/>
      <c r="R1392" s="131"/>
      <c r="S1392" s="131"/>
      <c r="T1392" s="131"/>
      <c r="U1392" s="131"/>
      <c r="V1392" s="131"/>
      <c r="W1392" s="131"/>
      <c r="X1392" s="131"/>
      <c r="Y1392" s="131"/>
      <c r="Z1392" s="131"/>
      <c r="AA1392" s="131"/>
      <c r="AB1392" s="131"/>
      <c r="AC1392" s="131"/>
    </row>
    <row r="1393" spans="2:29" x14ac:dyDescent="0.2">
      <c r="B1393" s="151"/>
      <c r="C1393" s="152"/>
      <c r="H1393" s="340"/>
      <c r="L1393" s="131"/>
      <c r="M1393" s="131"/>
      <c r="N1393" s="131"/>
      <c r="O1393" s="131"/>
      <c r="P1393" s="131"/>
      <c r="Q1393" s="131"/>
      <c r="R1393" s="131"/>
      <c r="S1393" s="131"/>
      <c r="T1393" s="131"/>
      <c r="U1393" s="131"/>
      <c r="V1393" s="131"/>
      <c r="W1393" s="131"/>
      <c r="X1393" s="131"/>
      <c r="Y1393" s="131"/>
      <c r="Z1393" s="131"/>
      <c r="AA1393" s="131"/>
      <c r="AB1393" s="131"/>
      <c r="AC1393" s="131"/>
    </row>
    <row r="1394" spans="2:29" x14ac:dyDescent="0.2">
      <c r="B1394" s="151"/>
      <c r="C1394" s="152"/>
      <c r="H1394" s="340"/>
      <c r="L1394" s="131"/>
      <c r="M1394" s="131"/>
      <c r="N1394" s="131"/>
      <c r="O1394" s="131"/>
      <c r="P1394" s="131"/>
      <c r="Q1394" s="131"/>
      <c r="R1394" s="131"/>
      <c r="S1394" s="131"/>
      <c r="T1394" s="131"/>
      <c r="U1394" s="131"/>
      <c r="V1394" s="131"/>
      <c r="W1394" s="131"/>
      <c r="X1394" s="131"/>
      <c r="Y1394" s="131"/>
      <c r="Z1394" s="131"/>
      <c r="AA1394" s="131"/>
      <c r="AB1394" s="131"/>
      <c r="AC1394" s="131"/>
    </row>
    <row r="1395" spans="2:29" x14ac:dyDescent="0.2">
      <c r="B1395" s="151"/>
      <c r="C1395" s="152"/>
      <c r="H1395" s="340"/>
      <c r="L1395" s="131"/>
      <c r="M1395" s="131"/>
      <c r="N1395" s="131"/>
      <c r="O1395" s="131"/>
      <c r="P1395" s="131"/>
      <c r="Q1395" s="131"/>
      <c r="R1395" s="131"/>
      <c r="S1395" s="131"/>
      <c r="T1395" s="131"/>
      <c r="U1395" s="131"/>
      <c r="V1395" s="131"/>
      <c r="W1395" s="131"/>
      <c r="X1395" s="131"/>
      <c r="Y1395" s="131"/>
      <c r="Z1395" s="131"/>
      <c r="AA1395" s="131"/>
      <c r="AB1395" s="131"/>
      <c r="AC1395" s="131"/>
    </row>
    <row r="1396" spans="2:29" x14ac:dyDescent="0.2">
      <c r="B1396" s="151"/>
      <c r="C1396" s="152"/>
      <c r="H1396" s="340"/>
      <c r="L1396" s="131"/>
      <c r="M1396" s="131"/>
      <c r="N1396" s="131"/>
      <c r="O1396" s="131"/>
      <c r="P1396" s="131"/>
      <c r="Q1396" s="131"/>
      <c r="R1396" s="131"/>
      <c r="S1396" s="131"/>
      <c r="T1396" s="131"/>
      <c r="U1396" s="131"/>
      <c r="V1396" s="131"/>
      <c r="W1396" s="131"/>
      <c r="X1396" s="131"/>
      <c r="Y1396" s="131"/>
      <c r="Z1396" s="131"/>
      <c r="AA1396" s="131"/>
      <c r="AB1396" s="131"/>
      <c r="AC1396" s="131"/>
    </row>
    <row r="1397" spans="2:29" x14ac:dyDescent="0.2">
      <c r="B1397" s="151"/>
      <c r="C1397" s="152"/>
      <c r="H1397" s="340"/>
      <c r="L1397" s="131"/>
      <c r="M1397" s="131"/>
      <c r="N1397" s="131"/>
      <c r="O1397" s="131"/>
      <c r="P1397" s="131"/>
      <c r="Q1397" s="131"/>
      <c r="R1397" s="131"/>
      <c r="S1397" s="131"/>
      <c r="T1397" s="131"/>
      <c r="U1397" s="131"/>
      <c r="V1397" s="131"/>
      <c r="W1397" s="131"/>
      <c r="X1397" s="131"/>
      <c r="Y1397" s="131"/>
      <c r="Z1397" s="131"/>
      <c r="AA1397" s="131"/>
      <c r="AB1397" s="131"/>
      <c r="AC1397" s="131"/>
    </row>
    <row r="1398" spans="2:29" x14ac:dyDescent="0.2">
      <c r="B1398" s="151"/>
      <c r="C1398" s="152"/>
      <c r="H1398" s="340"/>
      <c r="L1398" s="131"/>
      <c r="M1398" s="131"/>
      <c r="N1398" s="131"/>
      <c r="O1398" s="131"/>
      <c r="P1398" s="131"/>
      <c r="Q1398" s="131"/>
      <c r="R1398" s="131"/>
      <c r="S1398" s="131"/>
      <c r="T1398" s="131"/>
      <c r="U1398" s="131"/>
      <c r="V1398" s="131"/>
      <c r="W1398" s="131"/>
      <c r="X1398" s="131"/>
      <c r="Y1398" s="131"/>
      <c r="Z1398" s="131"/>
      <c r="AA1398" s="131"/>
      <c r="AB1398" s="131"/>
      <c r="AC1398" s="131"/>
    </row>
    <row r="1399" spans="2:29" x14ac:dyDescent="0.2">
      <c r="B1399" s="151"/>
      <c r="C1399" s="152"/>
      <c r="H1399" s="340"/>
      <c r="L1399" s="131"/>
      <c r="M1399" s="131"/>
      <c r="N1399" s="131"/>
      <c r="O1399" s="131"/>
      <c r="P1399" s="131"/>
      <c r="Q1399" s="131"/>
      <c r="R1399" s="131"/>
      <c r="S1399" s="131"/>
      <c r="T1399" s="131"/>
      <c r="U1399" s="131"/>
      <c r="V1399" s="131"/>
      <c r="W1399" s="131"/>
      <c r="X1399" s="131"/>
      <c r="Y1399" s="131"/>
      <c r="Z1399" s="131"/>
      <c r="AA1399" s="131"/>
      <c r="AB1399" s="131"/>
      <c r="AC1399" s="131"/>
    </row>
    <row r="1400" spans="2:29" x14ac:dyDescent="0.2">
      <c r="B1400" s="151"/>
      <c r="C1400" s="152"/>
      <c r="H1400" s="340"/>
      <c r="L1400" s="131"/>
      <c r="M1400" s="131"/>
      <c r="N1400" s="131"/>
      <c r="O1400" s="131"/>
      <c r="P1400" s="131"/>
      <c r="Q1400" s="131"/>
      <c r="R1400" s="131"/>
      <c r="S1400" s="131"/>
      <c r="T1400" s="131"/>
      <c r="U1400" s="131"/>
      <c r="V1400" s="131"/>
      <c r="W1400" s="131"/>
      <c r="X1400" s="131"/>
      <c r="Y1400" s="131"/>
      <c r="Z1400" s="131"/>
      <c r="AA1400" s="131"/>
      <c r="AB1400" s="131"/>
      <c r="AC1400" s="131"/>
    </row>
    <row r="1401" spans="2:29" x14ac:dyDescent="0.2">
      <c r="B1401" s="151"/>
      <c r="C1401" s="152"/>
      <c r="H1401" s="340"/>
      <c r="L1401" s="131"/>
      <c r="M1401" s="131"/>
      <c r="N1401" s="131"/>
      <c r="O1401" s="131"/>
      <c r="P1401" s="131"/>
      <c r="Q1401" s="131"/>
      <c r="R1401" s="131"/>
      <c r="S1401" s="131"/>
      <c r="T1401" s="131"/>
      <c r="U1401" s="131"/>
      <c r="V1401" s="131"/>
      <c r="W1401" s="131"/>
      <c r="X1401" s="131"/>
      <c r="Y1401" s="131"/>
      <c r="Z1401" s="131"/>
      <c r="AA1401" s="131"/>
      <c r="AB1401" s="131"/>
      <c r="AC1401" s="131"/>
    </row>
    <row r="1402" spans="2:29" x14ac:dyDescent="0.2">
      <c r="B1402" s="151"/>
      <c r="C1402" s="152"/>
      <c r="H1402" s="340"/>
      <c r="L1402" s="131"/>
      <c r="M1402" s="131"/>
      <c r="N1402" s="131"/>
      <c r="O1402" s="131"/>
      <c r="P1402" s="131"/>
      <c r="Q1402" s="131"/>
      <c r="R1402" s="131"/>
      <c r="S1402" s="131"/>
      <c r="T1402" s="131"/>
      <c r="U1402" s="131"/>
      <c r="V1402" s="131"/>
      <c r="W1402" s="131"/>
      <c r="X1402" s="131"/>
      <c r="Y1402" s="131"/>
      <c r="Z1402" s="131"/>
      <c r="AA1402" s="131"/>
      <c r="AB1402" s="131"/>
      <c r="AC1402" s="131"/>
    </row>
    <row r="1403" spans="2:29" x14ac:dyDescent="0.2">
      <c r="B1403" s="151"/>
      <c r="C1403" s="152"/>
      <c r="H1403" s="340"/>
      <c r="L1403" s="131"/>
      <c r="M1403" s="131"/>
      <c r="N1403" s="131"/>
      <c r="O1403" s="131"/>
      <c r="P1403" s="131"/>
      <c r="Q1403" s="131"/>
      <c r="R1403" s="131"/>
      <c r="S1403" s="131"/>
      <c r="T1403" s="131"/>
      <c r="U1403" s="131"/>
      <c r="V1403" s="131"/>
      <c r="W1403" s="131"/>
      <c r="X1403" s="131"/>
      <c r="Y1403" s="131"/>
      <c r="Z1403" s="131"/>
      <c r="AA1403" s="131"/>
      <c r="AB1403" s="131"/>
      <c r="AC1403" s="131"/>
    </row>
    <row r="1404" spans="2:29" x14ac:dyDescent="0.2">
      <c r="B1404" s="151"/>
      <c r="C1404" s="152"/>
      <c r="H1404" s="340"/>
      <c r="L1404" s="131"/>
      <c r="M1404" s="131"/>
      <c r="N1404" s="131"/>
      <c r="O1404" s="131"/>
      <c r="P1404" s="131"/>
      <c r="Q1404" s="131"/>
      <c r="R1404" s="131"/>
      <c r="S1404" s="131"/>
      <c r="T1404" s="131"/>
      <c r="U1404" s="131"/>
      <c r="V1404" s="131"/>
      <c r="W1404" s="131"/>
      <c r="X1404" s="131"/>
      <c r="Y1404" s="131"/>
      <c r="Z1404" s="131"/>
      <c r="AA1404" s="131"/>
      <c r="AB1404" s="131"/>
      <c r="AC1404" s="131"/>
    </row>
    <row r="1405" spans="2:29" x14ac:dyDescent="0.2">
      <c r="B1405" s="151"/>
      <c r="C1405" s="152"/>
      <c r="H1405" s="340"/>
      <c r="L1405" s="131"/>
      <c r="M1405" s="131"/>
      <c r="N1405" s="131"/>
      <c r="O1405" s="131"/>
      <c r="P1405" s="131"/>
      <c r="Q1405" s="131"/>
      <c r="R1405" s="131"/>
      <c r="S1405" s="131"/>
      <c r="T1405" s="131"/>
      <c r="U1405" s="131"/>
      <c r="V1405" s="131"/>
      <c r="W1405" s="131"/>
      <c r="X1405" s="131"/>
      <c r="Y1405" s="131"/>
      <c r="Z1405" s="131"/>
      <c r="AA1405" s="131"/>
      <c r="AB1405" s="131"/>
      <c r="AC1405" s="131"/>
    </row>
    <row r="1406" spans="2:29" x14ac:dyDescent="0.2">
      <c r="B1406" s="151"/>
      <c r="C1406" s="152"/>
      <c r="H1406" s="340"/>
      <c r="L1406" s="131"/>
      <c r="M1406" s="131"/>
      <c r="N1406" s="131"/>
      <c r="O1406" s="131"/>
      <c r="P1406" s="131"/>
      <c r="Q1406" s="131"/>
      <c r="R1406" s="131"/>
      <c r="S1406" s="131"/>
      <c r="T1406" s="131"/>
      <c r="U1406" s="131"/>
      <c r="V1406" s="131"/>
      <c r="W1406" s="131"/>
      <c r="X1406" s="131"/>
      <c r="Y1406" s="131"/>
      <c r="Z1406" s="131"/>
      <c r="AA1406" s="131"/>
      <c r="AB1406" s="131"/>
      <c r="AC1406" s="131"/>
    </row>
    <row r="1407" spans="2:29" x14ac:dyDescent="0.2">
      <c r="B1407" s="151"/>
      <c r="C1407" s="152"/>
      <c r="H1407" s="340"/>
      <c r="L1407" s="131"/>
      <c r="M1407" s="131"/>
      <c r="N1407" s="131"/>
      <c r="O1407" s="131"/>
      <c r="P1407" s="131"/>
      <c r="Q1407" s="131"/>
      <c r="R1407" s="131"/>
      <c r="S1407" s="131"/>
      <c r="T1407" s="131"/>
      <c r="U1407" s="131"/>
      <c r="V1407" s="131"/>
      <c r="W1407" s="131"/>
      <c r="X1407" s="131"/>
      <c r="Y1407" s="131"/>
      <c r="Z1407" s="131"/>
      <c r="AA1407" s="131"/>
      <c r="AB1407" s="131"/>
      <c r="AC1407" s="131"/>
    </row>
    <row r="1408" spans="2:29" x14ac:dyDescent="0.2">
      <c r="B1408" s="151"/>
      <c r="C1408" s="152"/>
      <c r="H1408" s="340"/>
      <c r="L1408" s="131"/>
      <c r="M1408" s="131"/>
      <c r="N1408" s="131"/>
      <c r="O1408" s="131"/>
      <c r="P1408" s="131"/>
      <c r="Q1408" s="131"/>
      <c r="R1408" s="131"/>
      <c r="S1408" s="131"/>
      <c r="T1408" s="131"/>
      <c r="U1408" s="131"/>
      <c r="V1408" s="131"/>
      <c r="W1408" s="131"/>
      <c r="X1408" s="131"/>
      <c r="Y1408" s="131"/>
      <c r="Z1408" s="131"/>
      <c r="AA1408" s="131"/>
      <c r="AB1408" s="131"/>
      <c r="AC1408" s="131"/>
    </row>
    <row r="1409" spans="2:29" x14ac:dyDescent="0.2">
      <c r="B1409" s="151"/>
      <c r="C1409" s="152"/>
      <c r="H1409" s="340"/>
      <c r="L1409" s="131"/>
      <c r="M1409" s="131"/>
      <c r="N1409" s="131"/>
      <c r="O1409" s="131"/>
      <c r="P1409" s="131"/>
      <c r="Q1409" s="131"/>
      <c r="R1409" s="131"/>
      <c r="S1409" s="131"/>
      <c r="T1409" s="131"/>
      <c r="U1409" s="131"/>
      <c r="V1409" s="131"/>
      <c r="W1409" s="131"/>
      <c r="X1409" s="131"/>
      <c r="Y1409" s="131"/>
      <c r="Z1409" s="131"/>
      <c r="AA1409" s="131"/>
      <c r="AB1409" s="131"/>
      <c r="AC1409" s="131"/>
    </row>
    <row r="1410" spans="2:29" x14ac:dyDescent="0.2">
      <c r="B1410" s="151"/>
      <c r="C1410" s="152"/>
      <c r="H1410" s="340"/>
      <c r="L1410" s="131"/>
      <c r="M1410" s="131"/>
      <c r="N1410" s="131"/>
      <c r="O1410" s="131"/>
      <c r="P1410" s="131"/>
      <c r="Q1410" s="131"/>
      <c r="R1410" s="131"/>
      <c r="S1410" s="131"/>
      <c r="T1410" s="131"/>
      <c r="U1410" s="131"/>
      <c r="V1410" s="131"/>
      <c r="W1410" s="131"/>
      <c r="X1410" s="131"/>
      <c r="Y1410" s="131"/>
      <c r="Z1410" s="131"/>
      <c r="AA1410" s="131"/>
      <c r="AB1410" s="131"/>
      <c r="AC1410" s="131"/>
    </row>
    <row r="1411" spans="2:29" x14ac:dyDescent="0.2">
      <c r="B1411" s="151"/>
      <c r="C1411" s="152"/>
      <c r="H1411" s="340"/>
      <c r="L1411" s="131"/>
      <c r="M1411" s="131"/>
      <c r="N1411" s="131"/>
      <c r="O1411" s="131"/>
      <c r="P1411" s="131"/>
      <c r="Q1411" s="131"/>
      <c r="R1411" s="131"/>
      <c r="S1411" s="131"/>
      <c r="T1411" s="131"/>
      <c r="U1411" s="131"/>
      <c r="V1411" s="131"/>
      <c r="W1411" s="131"/>
      <c r="X1411" s="131"/>
      <c r="Y1411" s="131"/>
      <c r="Z1411" s="131"/>
      <c r="AA1411" s="131"/>
      <c r="AB1411" s="131"/>
      <c r="AC1411" s="131"/>
    </row>
    <row r="1412" spans="2:29" x14ac:dyDescent="0.2">
      <c r="B1412" s="151"/>
      <c r="C1412" s="152"/>
      <c r="H1412" s="340"/>
      <c r="L1412" s="131"/>
      <c r="M1412" s="131"/>
      <c r="N1412" s="131"/>
      <c r="O1412" s="131"/>
      <c r="P1412" s="131"/>
      <c r="Q1412" s="131"/>
      <c r="R1412" s="131"/>
      <c r="S1412" s="131"/>
      <c r="T1412" s="131"/>
      <c r="U1412" s="131"/>
      <c r="V1412" s="131"/>
      <c r="W1412" s="131"/>
      <c r="X1412" s="131"/>
      <c r="Y1412" s="131"/>
      <c r="Z1412" s="131"/>
      <c r="AA1412" s="131"/>
      <c r="AB1412" s="131"/>
      <c r="AC1412" s="131"/>
    </row>
    <row r="1413" spans="2:29" x14ac:dyDescent="0.2">
      <c r="B1413" s="151"/>
      <c r="C1413" s="152"/>
      <c r="H1413" s="340"/>
      <c r="L1413" s="131"/>
      <c r="M1413" s="131"/>
      <c r="N1413" s="131"/>
      <c r="O1413" s="131"/>
      <c r="P1413" s="131"/>
      <c r="Q1413" s="131"/>
      <c r="R1413" s="131"/>
      <c r="S1413" s="131"/>
      <c r="T1413" s="131"/>
      <c r="U1413" s="131"/>
      <c r="V1413" s="131"/>
      <c r="W1413" s="131"/>
      <c r="X1413" s="131"/>
      <c r="Y1413" s="131"/>
      <c r="Z1413" s="131"/>
      <c r="AA1413" s="131"/>
      <c r="AB1413" s="131"/>
      <c r="AC1413" s="131"/>
    </row>
    <row r="1414" spans="2:29" x14ac:dyDescent="0.2">
      <c r="B1414" s="151"/>
      <c r="C1414" s="152"/>
      <c r="H1414" s="340"/>
      <c r="L1414" s="131"/>
      <c r="M1414" s="131"/>
      <c r="N1414" s="131"/>
      <c r="O1414" s="131"/>
      <c r="P1414" s="131"/>
      <c r="Q1414" s="131"/>
      <c r="R1414" s="131"/>
      <c r="S1414" s="131"/>
      <c r="T1414" s="131"/>
      <c r="U1414" s="131"/>
      <c r="V1414" s="131"/>
      <c r="W1414" s="131"/>
      <c r="X1414" s="131"/>
      <c r="Y1414" s="131"/>
      <c r="Z1414" s="131"/>
      <c r="AA1414" s="131"/>
      <c r="AB1414" s="131"/>
      <c r="AC1414" s="131"/>
    </row>
    <row r="1415" spans="2:29" x14ac:dyDescent="0.2">
      <c r="B1415" s="151"/>
      <c r="C1415" s="152"/>
      <c r="H1415" s="340"/>
      <c r="L1415" s="131"/>
      <c r="M1415" s="131"/>
      <c r="N1415" s="131"/>
      <c r="O1415" s="131"/>
      <c r="P1415" s="131"/>
      <c r="Q1415" s="131"/>
      <c r="R1415" s="131"/>
      <c r="S1415" s="131"/>
      <c r="T1415" s="131"/>
      <c r="U1415" s="131"/>
      <c r="V1415" s="131"/>
      <c r="W1415" s="131"/>
      <c r="X1415" s="131"/>
      <c r="Y1415" s="131"/>
      <c r="Z1415" s="131"/>
      <c r="AA1415" s="131"/>
      <c r="AB1415" s="131"/>
      <c r="AC1415" s="131"/>
    </row>
    <row r="1416" spans="2:29" x14ac:dyDescent="0.2">
      <c r="B1416" s="151"/>
      <c r="C1416" s="152"/>
      <c r="H1416" s="340"/>
      <c r="L1416" s="131"/>
      <c r="M1416" s="131"/>
      <c r="N1416" s="131"/>
      <c r="O1416" s="131"/>
      <c r="P1416" s="131"/>
      <c r="Q1416" s="131"/>
      <c r="R1416" s="131"/>
      <c r="S1416" s="131"/>
      <c r="T1416" s="131"/>
      <c r="U1416" s="131"/>
      <c r="V1416" s="131"/>
      <c r="W1416" s="131"/>
      <c r="X1416" s="131"/>
      <c r="Y1416" s="131"/>
      <c r="Z1416" s="131"/>
      <c r="AA1416" s="131"/>
      <c r="AB1416" s="131"/>
      <c r="AC1416" s="131"/>
    </row>
    <row r="1417" spans="2:29" x14ac:dyDescent="0.2">
      <c r="B1417" s="151"/>
      <c r="C1417" s="152"/>
      <c r="H1417" s="340"/>
      <c r="L1417" s="131"/>
      <c r="M1417" s="131"/>
      <c r="N1417" s="131"/>
      <c r="O1417" s="131"/>
      <c r="P1417" s="131"/>
      <c r="Q1417" s="131"/>
      <c r="R1417" s="131"/>
      <c r="S1417" s="131"/>
      <c r="T1417" s="131"/>
      <c r="U1417" s="131"/>
      <c r="V1417" s="131"/>
      <c r="W1417" s="131"/>
      <c r="X1417" s="131"/>
      <c r="Y1417" s="131"/>
      <c r="Z1417" s="131"/>
      <c r="AA1417" s="131"/>
      <c r="AB1417" s="131"/>
      <c r="AC1417" s="131"/>
    </row>
    <row r="1418" spans="2:29" x14ac:dyDescent="0.2">
      <c r="B1418" s="151"/>
      <c r="C1418" s="152"/>
      <c r="H1418" s="340"/>
      <c r="L1418" s="131"/>
      <c r="M1418" s="131"/>
      <c r="N1418" s="131"/>
      <c r="O1418" s="131"/>
      <c r="P1418" s="131"/>
      <c r="Q1418" s="131"/>
      <c r="R1418" s="131"/>
      <c r="S1418" s="131"/>
      <c r="T1418" s="131"/>
      <c r="U1418" s="131"/>
      <c r="V1418" s="131"/>
      <c r="W1418" s="131"/>
      <c r="X1418" s="131"/>
      <c r="Y1418" s="131"/>
      <c r="Z1418" s="131"/>
      <c r="AA1418" s="131"/>
      <c r="AB1418" s="131"/>
      <c r="AC1418" s="131"/>
    </row>
    <row r="1419" spans="2:29" x14ac:dyDescent="0.2">
      <c r="B1419" s="151"/>
      <c r="C1419" s="152"/>
      <c r="H1419" s="340"/>
      <c r="L1419" s="131"/>
      <c r="M1419" s="131"/>
      <c r="N1419" s="131"/>
      <c r="O1419" s="131"/>
      <c r="P1419" s="131"/>
      <c r="Q1419" s="131"/>
      <c r="R1419" s="131"/>
      <c r="S1419" s="131"/>
      <c r="T1419" s="131"/>
      <c r="U1419" s="131"/>
      <c r="V1419" s="131"/>
      <c r="W1419" s="131"/>
      <c r="X1419" s="131"/>
      <c r="Y1419" s="131"/>
      <c r="Z1419" s="131"/>
      <c r="AA1419" s="131"/>
      <c r="AB1419" s="131"/>
      <c r="AC1419" s="131"/>
    </row>
    <row r="1420" spans="2:29" x14ac:dyDescent="0.2">
      <c r="B1420" s="151"/>
      <c r="C1420" s="152"/>
      <c r="H1420" s="340"/>
      <c r="L1420" s="131"/>
      <c r="M1420" s="131"/>
      <c r="N1420" s="131"/>
      <c r="O1420" s="131"/>
      <c r="P1420" s="131"/>
      <c r="Q1420" s="131"/>
      <c r="R1420" s="131"/>
      <c r="S1420" s="131"/>
      <c r="T1420" s="131"/>
      <c r="U1420" s="131"/>
      <c r="V1420" s="131"/>
      <c r="W1420" s="131"/>
      <c r="X1420" s="131"/>
      <c r="Y1420" s="131"/>
      <c r="Z1420" s="131"/>
      <c r="AA1420" s="131"/>
      <c r="AB1420" s="131"/>
      <c r="AC1420" s="131"/>
    </row>
    <row r="1421" spans="2:29" x14ac:dyDescent="0.2">
      <c r="B1421" s="151"/>
      <c r="C1421" s="152"/>
      <c r="H1421" s="340"/>
      <c r="L1421" s="131"/>
      <c r="M1421" s="131"/>
      <c r="N1421" s="131"/>
      <c r="O1421" s="131"/>
      <c r="P1421" s="131"/>
      <c r="Q1421" s="131"/>
      <c r="R1421" s="131"/>
      <c r="S1421" s="131"/>
      <c r="T1421" s="131"/>
      <c r="U1421" s="131"/>
      <c r="V1421" s="131"/>
      <c r="W1421" s="131"/>
      <c r="X1421" s="131"/>
      <c r="Y1421" s="131"/>
      <c r="Z1421" s="131"/>
      <c r="AA1421" s="131"/>
      <c r="AB1421" s="131"/>
      <c r="AC1421" s="131"/>
    </row>
    <row r="1422" spans="2:29" x14ac:dyDescent="0.2">
      <c r="B1422" s="151"/>
      <c r="C1422" s="152"/>
      <c r="H1422" s="340"/>
      <c r="L1422" s="131"/>
      <c r="M1422" s="131"/>
      <c r="N1422" s="131"/>
      <c r="O1422" s="131"/>
      <c r="P1422" s="131"/>
      <c r="Q1422" s="131"/>
      <c r="R1422" s="131"/>
      <c r="S1422" s="131"/>
      <c r="T1422" s="131"/>
      <c r="U1422" s="131"/>
      <c r="V1422" s="131"/>
      <c r="W1422" s="131"/>
      <c r="X1422" s="131"/>
      <c r="Y1422" s="131"/>
      <c r="Z1422" s="131"/>
      <c r="AA1422" s="131"/>
      <c r="AB1422" s="131"/>
      <c r="AC1422" s="131"/>
    </row>
    <row r="1423" spans="2:29" x14ac:dyDescent="0.2">
      <c r="B1423" s="151"/>
      <c r="C1423" s="152"/>
      <c r="H1423" s="340"/>
      <c r="L1423" s="131"/>
      <c r="M1423" s="131"/>
      <c r="N1423" s="131"/>
      <c r="O1423" s="131"/>
      <c r="P1423" s="131"/>
      <c r="Q1423" s="131"/>
      <c r="R1423" s="131"/>
      <c r="S1423" s="131"/>
      <c r="T1423" s="131"/>
      <c r="U1423" s="131"/>
      <c r="V1423" s="131"/>
      <c r="W1423" s="131"/>
      <c r="X1423" s="131"/>
      <c r="Y1423" s="131"/>
      <c r="Z1423" s="131"/>
      <c r="AA1423" s="131"/>
      <c r="AB1423" s="131"/>
      <c r="AC1423" s="131"/>
    </row>
    <row r="1424" spans="2:29" x14ac:dyDescent="0.2">
      <c r="B1424" s="151"/>
      <c r="C1424" s="152"/>
      <c r="H1424" s="340"/>
      <c r="L1424" s="131"/>
      <c r="M1424" s="131"/>
      <c r="N1424" s="131"/>
      <c r="O1424" s="131"/>
      <c r="P1424" s="131"/>
      <c r="Q1424" s="131"/>
      <c r="R1424" s="131"/>
      <c r="S1424" s="131"/>
      <c r="T1424" s="131"/>
      <c r="U1424" s="131"/>
      <c r="V1424" s="131"/>
      <c r="W1424" s="131"/>
      <c r="X1424" s="131"/>
      <c r="Y1424" s="131"/>
      <c r="Z1424" s="131"/>
      <c r="AA1424" s="131"/>
      <c r="AB1424" s="131"/>
      <c r="AC1424" s="131"/>
    </row>
    <row r="1425" spans="2:29" x14ac:dyDescent="0.2">
      <c r="B1425" s="151"/>
      <c r="C1425" s="152"/>
      <c r="H1425" s="340"/>
      <c r="L1425" s="131"/>
      <c r="M1425" s="131"/>
      <c r="N1425" s="131"/>
      <c r="O1425" s="131"/>
      <c r="P1425" s="131"/>
      <c r="Q1425" s="131"/>
      <c r="R1425" s="131"/>
      <c r="S1425" s="131"/>
      <c r="T1425" s="131"/>
      <c r="U1425" s="131"/>
      <c r="V1425" s="131"/>
      <c r="W1425" s="131"/>
      <c r="X1425" s="131"/>
      <c r="Y1425" s="131"/>
      <c r="Z1425" s="131"/>
      <c r="AA1425" s="131"/>
      <c r="AB1425" s="131"/>
      <c r="AC1425" s="131"/>
    </row>
    <row r="1426" spans="2:29" x14ac:dyDescent="0.2">
      <c r="B1426" s="151"/>
      <c r="C1426" s="152"/>
      <c r="H1426" s="340"/>
      <c r="L1426" s="131"/>
      <c r="M1426" s="131"/>
      <c r="N1426" s="131"/>
      <c r="O1426" s="131"/>
      <c r="P1426" s="131"/>
      <c r="Q1426" s="131"/>
      <c r="R1426" s="131"/>
      <c r="S1426" s="131"/>
      <c r="T1426" s="131"/>
      <c r="U1426" s="131"/>
      <c r="V1426" s="131"/>
      <c r="W1426" s="131"/>
      <c r="X1426" s="131"/>
      <c r="Y1426" s="131"/>
      <c r="Z1426" s="131"/>
      <c r="AA1426" s="131"/>
      <c r="AB1426" s="131"/>
      <c r="AC1426" s="131"/>
    </row>
    <row r="1427" spans="2:29" x14ac:dyDescent="0.2">
      <c r="B1427" s="151"/>
      <c r="C1427" s="152"/>
      <c r="H1427" s="340"/>
      <c r="L1427" s="131"/>
      <c r="M1427" s="131"/>
      <c r="N1427" s="131"/>
      <c r="O1427" s="131"/>
      <c r="P1427" s="131"/>
      <c r="Q1427" s="131"/>
      <c r="R1427" s="131"/>
      <c r="S1427" s="131"/>
      <c r="T1427" s="131"/>
      <c r="U1427" s="131"/>
      <c r="V1427" s="131"/>
      <c r="W1427" s="131"/>
      <c r="X1427" s="131"/>
      <c r="Y1427" s="131"/>
      <c r="Z1427" s="131"/>
      <c r="AA1427" s="131"/>
      <c r="AB1427" s="131"/>
      <c r="AC1427" s="131"/>
    </row>
    <row r="1428" spans="2:29" x14ac:dyDescent="0.2">
      <c r="B1428" s="151"/>
      <c r="C1428" s="152"/>
      <c r="H1428" s="340"/>
      <c r="L1428" s="131"/>
      <c r="M1428" s="131"/>
      <c r="N1428" s="131"/>
      <c r="O1428" s="131"/>
      <c r="P1428" s="131"/>
      <c r="Q1428" s="131"/>
      <c r="R1428" s="131"/>
      <c r="S1428" s="131"/>
      <c r="T1428" s="131"/>
      <c r="U1428" s="131"/>
      <c r="V1428" s="131"/>
      <c r="W1428" s="131"/>
      <c r="X1428" s="131"/>
      <c r="Y1428" s="131"/>
      <c r="Z1428" s="131"/>
      <c r="AA1428" s="131"/>
      <c r="AB1428" s="131"/>
      <c r="AC1428" s="131"/>
    </row>
    <row r="1429" spans="2:29" x14ac:dyDescent="0.2">
      <c r="B1429" s="151"/>
      <c r="C1429" s="152"/>
      <c r="H1429" s="340"/>
      <c r="L1429" s="131"/>
      <c r="M1429" s="131"/>
      <c r="N1429" s="131"/>
      <c r="O1429" s="131"/>
      <c r="P1429" s="131"/>
      <c r="Q1429" s="131"/>
      <c r="R1429" s="131"/>
      <c r="S1429" s="131"/>
      <c r="T1429" s="131"/>
      <c r="U1429" s="131"/>
      <c r="V1429" s="131"/>
      <c r="W1429" s="131"/>
      <c r="X1429" s="131"/>
      <c r="Y1429" s="131"/>
      <c r="Z1429" s="131"/>
      <c r="AA1429" s="131"/>
      <c r="AB1429" s="131"/>
      <c r="AC1429" s="131"/>
    </row>
    <row r="1430" spans="2:29" x14ac:dyDescent="0.2">
      <c r="B1430" s="151"/>
      <c r="C1430" s="152"/>
      <c r="H1430" s="340"/>
      <c r="L1430" s="131"/>
      <c r="M1430" s="131"/>
      <c r="N1430" s="131"/>
      <c r="O1430" s="131"/>
      <c r="P1430" s="131"/>
      <c r="Q1430" s="131"/>
      <c r="R1430" s="131"/>
      <c r="S1430" s="131"/>
      <c r="T1430" s="131"/>
      <c r="U1430" s="131"/>
      <c r="V1430" s="131"/>
      <c r="W1430" s="131"/>
      <c r="X1430" s="131"/>
      <c r="Y1430" s="131"/>
      <c r="Z1430" s="131"/>
      <c r="AA1430" s="131"/>
      <c r="AB1430" s="131"/>
      <c r="AC1430" s="131"/>
    </row>
    <row r="1431" spans="2:29" x14ac:dyDescent="0.2">
      <c r="B1431" s="151"/>
      <c r="C1431" s="152"/>
      <c r="H1431" s="340"/>
      <c r="L1431" s="131"/>
      <c r="M1431" s="131"/>
      <c r="N1431" s="131"/>
      <c r="O1431" s="131"/>
      <c r="P1431" s="131"/>
      <c r="Q1431" s="131"/>
      <c r="R1431" s="131"/>
      <c r="S1431" s="131"/>
      <c r="T1431" s="131"/>
      <c r="U1431" s="131"/>
      <c r="V1431" s="131"/>
      <c r="W1431" s="131"/>
      <c r="X1431" s="131"/>
      <c r="Y1431" s="131"/>
      <c r="Z1431" s="131"/>
      <c r="AA1431" s="131"/>
      <c r="AB1431" s="131"/>
      <c r="AC1431" s="131"/>
    </row>
    <row r="1432" spans="2:29" x14ac:dyDescent="0.2">
      <c r="B1432" s="151"/>
      <c r="C1432" s="152"/>
      <c r="H1432" s="340"/>
      <c r="L1432" s="131"/>
      <c r="M1432" s="131"/>
      <c r="N1432" s="131"/>
      <c r="O1432" s="131"/>
      <c r="P1432" s="131"/>
      <c r="Q1432" s="131"/>
      <c r="R1432" s="131"/>
      <c r="S1432" s="131"/>
      <c r="T1432" s="131"/>
      <c r="U1432" s="131"/>
      <c r="V1432" s="131"/>
      <c r="W1432" s="131"/>
      <c r="X1432" s="131"/>
      <c r="Y1432" s="131"/>
      <c r="Z1432" s="131"/>
      <c r="AA1432" s="131"/>
      <c r="AB1432" s="131"/>
      <c r="AC1432" s="131"/>
    </row>
    <row r="1433" spans="2:29" x14ac:dyDescent="0.2">
      <c r="B1433" s="151"/>
      <c r="C1433" s="152"/>
      <c r="H1433" s="340"/>
      <c r="L1433" s="131"/>
      <c r="M1433" s="131"/>
      <c r="N1433" s="131"/>
      <c r="O1433" s="131"/>
      <c r="P1433" s="131"/>
      <c r="Q1433" s="131"/>
      <c r="R1433" s="131"/>
      <c r="S1433" s="131"/>
      <c r="T1433" s="131"/>
      <c r="U1433" s="131"/>
      <c r="V1433" s="131"/>
      <c r="W1433" s="131"/>
      <c r="X1433" s="131"/>
      <c r="Y1433" s="131"/>
      <c r="Z1433" s="131"/>
      <c r="AA1433" s="131"/>
      <c r="AB1433" s="131"/>
      <c r="AC1433" s="131"/>
    </row>
    <row r="1434" spans="2:29" x14ac:dyDescent="0.2">
      <c r="B1434" s="151"/>
      <c r="C1434" s="152"/>
      <c r="H1434" s="340"/>
      <c r="L1434" s="131"/>
      <c r="M1434" s="131"/>
      <c r="N1434" s="131"/>
      <c r="O1434" s="131"/>
      <c r="P1434" s="131"/>
      <c r="Q1434" s="131"/>
      <c r="R1434" s="131"/>
      <c r="S1434" s="131"/>
      <c r="T1434" s="131"/>
      <c r="U1434" s="131"/>
      <c r="V1434" s="131"/>
      <c r="W1434" s="131"/>
      <c r="X1434" s="131"/>
      <c r="Y1434" s="131"/>
      <c r="Z1434" s="131"/>
      <c r="AA1434" s="131"/>
      <c r="AB1434" s="131"/>
      <c r="AC1434" s="131"/>
    </row>
    <row r="1435" spans="2:29" x14ac:dyDescent="0.2">
      <c r="B1435" s="151"/>
      <c r="C1435" s="152"/>
      <c r="H1435" s="340"/>
      <c r="L1435" s="131"/>
      <c r="M1435" s="131"/>
      <c r="N1435" s="131"/>
      <c r="O1435" s="131"/>
      <c r="P1435" s="131"/>
      <c r="Q1435" s="131"/>
      <c r="R1435" s="131"/>
      <c r="S1435" s="131"/>
      <c r="T1435" s="131"/>
      <c r="U1435" s="131"/>
      <c r="V1435" s="131"/>
      <c r="W1435" s="131"/>
      <c r="X1435" s="131"/>
      <c r="Y1435" s="131"/>
      <c r="Z1435" s="131"/>
      <c r="AA1435" s="131"/>
      <c r="AB1435" s="131"/>
      <c r="AC1435" s="131"/>
    </row>
    <row r="1436" spans="2:29" x14ac:dyDescent="0.2">
      <c r="B1436" s="151"/>
      <c r="C1436" s="152"/>
      <c r="H1436" s="340"/>
      <c r="L1436" s="131"/>
      <c r="M1436" s="131"/>
      <c r="N1436" s="131"/>
      <c r="O1436" s="131"/>
      <c r="P1436" s="131"/>
      <c r="Q1436" s="131"/>
      <c r="R1436" s="131"/>
      <c r="S1436" s="131"/>
      <c r="T1436" s="131"/>
      <c r="U1436" s="131"/>
      <c r="V1436" s="131"/>
      <c r="W1436" s="131"/>
      <c r="X1436" s="131"/>
      <c r="Y1436" s="131"/>
      <c r="Z1436" s="131"/>
      <c r="AA1436" s="131"/>
      <c r="AB1436" s="131"/>
      <c r="AC1436" s="131"/>
    </row>
    <row r="1437" spans="2:29" x14ac:dyDescent="0.2">
      <c r="B1437" s="151"/>
      <c r="C1437" s="152"/>
      <c r="H1437" s="340"/>
      <c r="L1437" s="131"/>
      <c r="M1437" s="131"/>
      <c r="N1437" s="131"/>
      <c r="O1437" s="131"/>
      <c r="P1437" s="131"/>
      <c r="Q1437" s="131"/>
      <c r="R1437" s="131"/>
      <c r="S1437" s="131"/>
      <c r="T1437" s="131"/>
      <c r="U1437" s="131"/>
      <c r="V1437" s="131"/>
      <c r="W1437" s="131"/>
      <c r="X1437" s="131"/>
      <c r="Y1437" s="131"/>
      <c r="Z1437" s="131"/>
      <c r="AA1437" s="131"/>
      <c r="AB1437" s="131"/>
      <c r="AC1437" s="131"/>
    </row>
    <row r="1438" spans="2:29" x14ac:dyDescent="0.2">
      <c r="B1438" s="151"/>
      <c r="C1438" s="152"/>
      <c r="H1438" s="340"/>
      <c r="L1438" s="131"/>
      <c r="M1438" s="131"/>
      <c r="N1438" s="131"/>
      <c r="O1438" s="131"/>
      <c r="P1438" s="131"/>
      <c r="Q1438" s="131"/>
      <c r="R1438" s="131"/>
      <c r="S1438" s="131"/>
      <c r="T1438" s="131"/>
      <c r="U1438" s="131"/>
      <c r="V1438" s="131"/>
      <c r="W1438" s="131"/>
      <c r="X1438" s="131"/>
      <c r="Y1438" s="131"/>
      <c r="Z1438" s="131"/>
      <c r="AA1438" s="131"/>
      <c r="AB1438" s="131"/>
      <c r="AC1438" s="131"/>
    </row>
    <row r="1439" spans="2:29" x14ac:dyDescent="0.2">
      <c r="B1439" s="151"/>
      <c r="C1439" s="152"/>
      <c r="H1439" s="340"/>
      <c r="L1439" s="131"/>
      <c r="M1439" s="131"/>
      <c r="N1439" s="131"/>
      <c r="O1439" s="131"/>
      <c r="P1439" s="131"/>
      <c r="Q1439" s="131"/>
      <c r="R1439" s="131"/>
      <c r="S1439" s="131"/>
      <c r="T1439" s="131"/>
      <c r="U1439" s="131"/>
      <c r="V1439" s="131"/>
      <c r="W1439" s="131"/>
      <c r="X1439" s="131"/>
      <c r="Y1439" s="131"/>
      <c r="Z1439" s="131"/>
      <c r="AA1439" s="131"/>
      <c r="AB1439" s="131"/>
      <c r="AC1439" s="131"/>
    </row>
    <row r="1440" spans="2:29" x14ac:dyDescent="0.2">
      <c r="B1440" s="151"/>
      <c r="C1440" s="152"/>
      <c r="H1440" s="340"/>
      <c r="L1440" s="131"/>
      <c r="M1440" s="131"/>
      <c r="N1440" s="131"/>
      <c r="O1440" s="131"/>
      <c r="P1440" s="131"/>
      <c r="Q1440" s="131"/>
      <c r="R1440" s="131"/>
      <c r="S1440" s="131"/>
      <c r="T1440" s="131"/>
      <c r="U1440" s="131"/>
      <c r="V1440" s="131"/>
      <c r="W1440" s="131"/>
      <c r="X1440" s="131"/>
      <c r="Y1440" s="131"/>
      <c r="Z1440" s="131"/>
      <c r="AA1440" s="131"/>
      <c r="AB1440" s="131"/>
      <c r="AC1440" s="131"/>
    </row>
    <row r="1441" spans="2:29" x14ac:dyDescent="0.2">
      <c r="B1441" s="151"/>
      <c r="C1441" s="152"/>
      <c r="H1441" s="340"/>
      <c r="L1441" s="131"/>
      <c r="M1441" s="131"/>
      <c r="N1441" s="131"/>
      <c r="O1441" s="131"/>
      <c r="P1441" s="131"/>
      <c r="Q1441" s="131"/>
      <c r="R1441" s="131"/>
      <c r="S1441" s="131"/>
      <c r="T1441" s="131"/>
      <c r="U1441" s="131"/>
      <c r="V1441" s="131"/>
      <c r="W1441" s="131"/>
      <c r="X1441" s="131"/>
      <c r="Y1441" s="131"/>
      <c r="Z1441" s="131"/>
      <c r="AA1441" s="131"/>
      <c r="AB1441" s="131"/>
      <c r="AC1441" s="131"/>
    </row>
    <row r="1442" spans="2:29" x14ac:dyDescent="0.2">
      <c r="B1442" s="151"/>
      <c r="C1442" s="152"/>
      <c r="H1442" s="340"/>
      <c r="L1442" s="131"/>
      <c r="M1442" s="131"/>
      <c r="N1442" s="131"/>
      <c r="O1442" s="131"/>
      <c r="P1442" s="131"/>
      <c r="Q1442" s="131"/>
      <c r="R1442" s="131"/>
      <c r="S1442" s="131"/>
      <c r="T1442" s="131"/>
      <c r="U1442" s="131"/>
      <c r="V1442" s="131"/>
      <c r="W1442" s="131"/>
      <c r="X1442" s="131"/>
      <c r="Y1442" s="131"/>
      <c r="Z1442" s="131"/>
      <c r="AA1442" s="131"/>
      <c r="AB1442" s="131"/>
      <c r="AC1442" s="131"/>
    </row>
    <row r="1443" spans="2:29" x14ac:dyDescent="0.2">
      <c r="B1443" s="151"/>
      <c r="C1443" s="152"/>
      <c r="H1443" s="340"/>
      <c r="L1443" s="131"/>
      <c r="M1443" s="131"/>
      <c r="N1443" s="131"/>
      <c r="O1443" s="131"/>
      <c r="P1443" s="131"/>
      <c r="Q1443" s="131"/>
      <c r="R1443" s="131"/>
      <c r="S1443" s="131"/>
      <c r="T1443" s="131"/>
      <c r="U1443" s="131"/>
      <c r="V1443" s="131"/>
      <c r="W1443" s="131"/>
      <c r="X1443" s="131"/>
      <c r="Y1443" s="131"/>
      <c r="Z1443" s="131"/>
      <c r="AA1443" s="131"/>
      <c r="AB1443" s="131"/>
      <c r="AC1443" s="131"/>
    </row>
    <row r="1444" spans="2:29" x14ac:dyDescent="0.2">
      <c r="B1444" s="151"/>
      <c r="C1444" s="152"/>
      <c r="H1444" s="340"/>
      <c r="L1444" s="131"/>
      <c r="M1444" s="131"/>
      <c r="N1444" s="131"/>
      <c r="O1444" s="131"/>
      <c r="P1444" s="131"/>
      <c r="Q1444" s="131"/>
      <c r="R1444" s="131"/>
      <c r="S1444" s="131"/>
      <c r="T1444" s="131"/>
      <c r="U1444" s="131"/>
      <c r="V1444" s="131"/>
      <c r="W1444" s="131"/>
      <c r="X1444" s="131"/>
      <c r="Y1444" s="131"/>
      <c r="Z1444" s="131"/>
      <c r="AA1444" s="131"/>
      <c r="AB1444" s="131"/>
      <c r="AC1444" s="131"/>
    </row>
    <row r="1445" spans="2:29" x14ac:dyDescent="0.2">
      <c r="B1445" s="151"/>
      <c r="C1445" s="152"/>
      <c r="H1445" s="340"/>
      <c r="L1445" s="131"/>
      <c r="M1445" s="131"/>
      <c r="N1445" s="131"/>
      <c r="O1445" s="131"/>
      <c r="P1445" s="131"/>
      <c r="Q1445" s="131"/>
      <c r="R1445" s="131"/>
      <c r="S1445" s="131"/>
      <c r="T1445" s="131"/>
      <c r="U1445" s="131"/>
      <c r="V1445" s="131"/>
      <c r="W1445" s="131"/>
      <c r="X1445" s="131"/>
      <c r="Y1445" s="131"/>
      <c r="Z1445" s="131"/>
      <c r="AA1445" s="131"/>
      <c r="AB1445" s="131"/>
      <c r="AC1445" s="131"/>
    </row>
    <row r="1446" spans="2:29" x14ac:dyDescent="0.2">
      <c r="B1446" s="151"/>
      <c r="C1446" s="152"/>
      <c r="H1446" s="340"/>
      <c r="L1446" s="131"/>
      <c r="M1446" s="131"/>
      <c r="N1446" s="131"/>
      <c r="O1446" s="131"/>
      <c r="P1446" s="131"/>
      <c r="Q1446" s="131"/>
      <c r="R1446" s="131"/>
      <c r="S1446" s="131"/>
      <c r="T1446" s="131"/>
      <c r="U1446" s="131"/>
      <c r="V1446" s="131"/>
      <c r="W1446" s="131"/>
      <c r="X1446" s="131"/>
      <c r="Y1446" s="131"/>
      <c r="Z1446" s="131"/>
      <c r="AA1446" s="131"/>
      <c r="AB1446" s="131"/>
      <c r="AC1446" s="131"/>
    </row>
    <row r="1447" spans="2:29" x14ac:dyDescent="0.2">
      <c r="B1447" s="151"/>
      <c r="C1447" s="152"/>
      <c r="H1447" s="340"/>
      <c r="L1447" s="131"/>
      <c r="M1447" s="131"/>
      <c r="N1447" s="131"/>
      <c r="O1447" s="131"/>
      <c r="P1447" s="131"/>
      <c r="Q1447" s="131"/>
      <c r="R1447" s="131"/>
      <c r="S1447" s="131"/>
      <c r="T1447" s="131"/>
      <c r="U1447" s="131"/>
      <c r="V1447" s="131"/>
      <c r="W1447" s="131"/>
      <c r="X1447" s="131"/>
      <c r="Y1447" s="131"/>
      <c r="Z1447" s="131"/>
      <c r="AA1447" s="131"/>
      <c r="AB1447" s="131"/>
      <c r="AC1447" s="131"/>
    </row>
    <row r="1448" spans="2:29" x14ac:dyDescent="0.2">
      <c r="B1448" s="151"/>
      <c r="C1448" s="152"/>
      <c r="H1448" s="340"/>
      <c r="L1448" s="131"/>
      <c r="M1448" s="131"/>
      <c r="N1448" s="131"/>
      <c r="O1448" s="131"/>
      <c r="P1448" s="131"/>
      <c r="Q1448" s="131"/>
      <c r="R1448" s="131"/>
      <c r="S1448" s="131"/>
      <c r="T1448" s="131"/>
      <c r="U1448" s="131"/>
      <c r="V1448" s="131"/>
      <c r="W1448" s="131"/>
      <c r="X1448" s="131"/>
      <c r="Y1448" s="131"/>
      <c r="Z1448" s="131"/>
      <c r="AA1448" s="131"/>
      <c r="AB1448" s="131"/>
      <c r="AC1448" s="131"/>
    </row>
    <row r="1449" spans="2:29" x14ac:dyDescent="0.2">
      <c r="B1449" s="151"/>
      <c r="C1449" s="152"/>
      <c r="H1449" s="340"/>
      <c r="L1449" s="131"/>
      <c r="M1449" s="131"/>
      <c r="N1449" s="131"/>
      <c r="O1449" s="131"/>
      <c r="P1449" s="131"/>
      <c r="Q1449" s="131"/>
      <c r="R1449" s="131"/>
      <c r="S1449" s="131"/>
      <c r="T1449" s="131"/>
      <c r="U1449" s="131"/>
      <c r="V1449" s="131"/>
      <c r="W1449" s="131"/>
      <c r="X1449" s="131"/>
      <c r="Y1449" s="131"/>
      <c r="Z1449" s="131"/>
      <c r="AA1449" s="131"/>
      <c r="AB1449" s="131"/>
      <c r="AC1449" s="131"/>
    </row>
    <row r="1450" spans="2:29" x14ac:dyDescent="0.2">
      <c r="B1450" s="151"/>
      <c r="C1450" s="152"/>
      <c r="H1450" s="340"/>
      <c r="L1450" s="131"/>
      <c r="M1450" s="131"/>
      <c r="N1450" s="131"/>
      <c r="O1450" s="131"/>
      <c r="P1450" s="131"/>
      <c r="Q1450" s="131"/>
      <c r="R1450" s="131"/>
      <c r="S1450" s="131"/>
      <c r="T1450" s="131"/>
      <c r="U1450" s="131"/>
      <c r="V1450" s="131"/>
      <c r="W1450" s="131"/>
      <c r="X1450" s="131"/>
      <c r="Y1450" s="131"/>
      <c r="Z1450" s="131"/>
      <c r="AA1450" s="131"/>
      <c r="AB1450" s="131"/>
      <c r="AC1450" s="131"/>
    </row>
    <row r="1451" spans="2:29" x14ac:dyDescent="0.2">
      <c r="B1451" s="151"/>
      <c r="C1451" s="152"/>
      <c r="H1451" s="340"/>
      <c r="L1451" s="131"/>
      <c r="M1451" s="131"/>
      <c r="N1451" s="131"/>
      <c r="O1451" s="131"/>
      <c r="P1451" s="131"/>
      <c r="Q1451" s="131"/>
      <c r="R1451" s="131"/>
      <c r="S1451" s="131"/>
      <c r="T1451" s="131"/>
      <c r="U1451" s="131"/>
      <c r="V1451" s="131"/>
      <c r="W1451" s="131"/>
      <c r="X1451" s="131"/>
      <c r="Y1451" s="131"/>
      <c r="Z1451" s="131"/>
      <c r="AA1451" s="131"/>
      <c r="AB1451" s="131"/>
      <c r="AC1451" s="131"/>
    </row>
    <row r="1452" spans="2:29" x14ac:dyDescent="0.2">
      <c r="B1452" s="151"/>
      <c r="C1452" s="152"/>
      <c r="H1452" s="340"/>
      <c r="L1452" s="131"/>
      <c r="M1452" s="131"/>
      <c r="N1452" s="131"/>
      <c r="O1452" s="131"/>
      <c r="P1452" s="131"/>
      <c r="Q1452" s="131"/>
      <c r="R1452" s="131"/>
      <c r="S1452" s="131"/>
      <c r="T1452" s="131"/>
      <c r="U1452" s="131"/>
      <c r="V1452" s="131"/>
      <c r="W1452" s="131"/>
      <c r="X1452" s="131"/>
      <c r="Y1452" s="131"/>
      <c r="Z1452" s="131"/>
      <c r="AA1452" s="131"/>
      <c r="AB1452" s="131"/>
      <c r="AC1452" s="131"/>
    </row>
    <row r="1453" spans="2:29" x14ac:dyDescent="0.2">
      <c r="B1453" s="151"/>
      <c r="C1453" s="152"/>
      <c r="H1453" s="340"/>
      <c r="L1453" s="131"/>
      <c r="M1453" s="131"/>
      <c r="N1453" s="131"/>
      <c r="O1453" s="131"/>
      <c r="P1453" s="131"/>
      <c r="Q1453" s="131"/>
      <c r="R1453" s="131"/>
      <c r="S1453" s="131"/>
      <c r="T1453" s="131"/>
      <c r="U1453" s="131"/>
      <c r="V1453" s="131"/>
      <c r="W1453" s="131"/>
      <c r="X1453" s="131"/>
      <c r="Y1453" s="131"/>
      <c r="Z1453" s="131"/>
      <c r="AA1453" s="131"/>
      <c r="AB1453" s="131"/>
      <c r="AC1453" s="131"/>
    </row>
    <row r="1454" spans="2:29" x14ac:dyDescent="0.2">
      <c r="B1454" s="151"/>
      <c r="C1454" s="152"/>
      <c r="H1454" s="340"/>
      <c r="L1454" s="131"/>
      <c r="M1454" s="131"/>
      <c r="N1454" s="131"/>
      <c r="O1454" s="131"/>
      <c r="P1454" s="131"/>
      <c r="Q1454" s="131"/>
      <c r="R1454" s="131"/>
      <c r="S1454" s="131"/>
      <c r="T1454" s="131"/>
      <c r="U1454" s="131"/>
      <c r="V1454" s="131"/>
      <c r="W1454" s="131"/>
      <c r="X1454" s="131"/>
      <c r="Y1454" s="131"/>
      <c r="Z1454" s="131"/>
      <c r="AA1454" s="131"/>
      <c r="AB1454" s="131"/>
      <c r="AC1454" s="131"/>
    </row>
    <row r="1455" spans="2:29" x14ac:dyDescent="0.2">
      <c r="B1455" s="151"/>
      <c r="C1455" s="152"/>
      <c r="H1455" s="340"/>
      <c r="L1455" s="131"/>
      <c r="M1455" s="131"/>
      <c r="N1455" s="131"/>
      <c r="O1455" s="131"/>
      <c r="P1455" s="131"/>
      <c r="Q1455" s="131"/>
      <c r="R1455" s="131"/>
      <c r="S1455" s="131"/>
      <c r="T1455" s="131"/>
      <c r="U1455" s="131"/>
      <c r="V1455" s="131"/>
      <c r="W1455" s="131"/>
      <c r="X1455" s="131"/>
      <c r="Y1455" s="131"/>
      <c r="Z1455" s="131"/>
      <c r="AA1455" s="131"/>
      <c r="AB1455" s="131"/>
      <c r="AC1455" s="131"/>
    </row>
    <row r="1456" spans="2:29" x14ac:dyDescent="0.2">
      <c r="B1456" s="151"/>
      <c r="C1456" s="152"/>
      <c r="H1456" s="340"/>
      <c r="L1456" s="131"/>
      <c r="M1456" s="131"/>
      <c r="N1456" s="131"/>
      <c r="O1456" s="131"/>
      <c r="P1456" s="131"/>
      <c r="Q1456" s="131"/>
      <c r="R1456" s="131"/>
      <c r="S1456" s="131"/>
      <c r="T1456" s="131"/>
      <c r="U1456" s="131"/>
      <c r="V1456" s="131"/>
      <c r="W1456" s="131"/>
      <c r="X1456" s="131"/>
      <c r="Y1456" s="131"/>
      <c r="Z1456" s="131"/>
      <c r="AA1456" s="131"/>
      <c r="AB1456" s="131"/>
      <c r="AC1456" s="131"/>
    </row>
    <row r="1457" spans="2:29" x14ac:dyDescent="0.2">
      <c r="B1457" s="151"/>
      <c r="C1457" s="152"/>
      <c r="H1457" s="340"/>
      <c r="L1457" s="131"/>
      <c r="M1457" s="131"/>
      <c r="N1457" s="131"/>
      <c r="O1457" s="131"/>
      <c r="P1457" s="131"/>
      <c r="Q1457" s="131"/>
      <c r="R1457" s="131"/>
      <c r="S1457" s="131"/>
      <c r="T1457" s="131"/>
      <c r="U1457" s="131"/>
      <c r="V1457" s="131"/>
      <c r="W1457" s="131"/>
      <c r="X1457" s="131"/>
      <c r="Y1457" s="131"/>
      <c r="Z1457" s="131"/>
      <c r="AA1457" s="131"/>
      <c r="AB1457" s="131"/>
      <c r="AC1457" s="131"/>
    </row>
    <row r="1458" spans="2:29" x14ac:dyDescent="0.2">
      <c r="B1458" s="151"/>
      <c r="C1458" s="152"/>
      <c r="H1458" s="340"/>
      <c r="L1458" s="131"/>
      <c r="M1458" s="131"/>
      <c r="N1458" s="131"/>
      <c r="O1458" s="131"/>
      <c r="P1458" s="131"/>
      <c r="Q1458" s="131"/>
      <c r="R1458" s="131"/>
      <c r="S1458" s="131"/>
      <c r="T1458" s="131"/>
      <c r="U1458" s="131"/>
      <c r="V1458" s="131"/>
      <c r="W1458" s="131"/>
      <c r="X1458" s="131"/>
      <c r="Y1458" s="131"/>
      <c r="Z1458" s="131"/>
      <c r="AA1458" s="131"/>
      <c r="AB1458" s="131"/>
      <c r="AC1458" s="131"/>
    </row>
    <row r="1459" spans="2:29" x14ac:dyDescent="0.2">
      <c r="B1459" s="151"/>
      <c r="C1459" s="152"/>
      <c r="H1459" s="340"/>
      <c r="L1459" s="131"/>
      <c r="M1459" s="131"/>
      <c r="N1459" s="131"/>
      <c r="O1459" s="131"/>
      <c r="P1459" s="131"/>
      <c r="Q1459" s="131"/>
      <c r="R1459" s="131"/>
      <c r="S1459" s="131"/>
      <c r="T1459" s="131"/>
      <c r="U1459" s="131"/>
      <c r="V1459" s="131"/>
      <c r="W1459" s="131"/>
      <c r="X1459" s="131"/>
      <c r="Y1459" s="131"/>
      <c r="Z1459" s="131"/>
      <c r="AA1459" s="131"/>
      <c r="AB1459" s="131"/>
      <c r="AC1459" s="131"/>
    </row>
    <row r="1460" spans="2:29" x14ac:dyDescent="0.2">
      <c r="B1460" s="151"/>
      <c r="C1460" s="152"/>
      <c r="H1460" s="340"/>
      <c r="L1460" s="131"/>
      <c r="M1460" s="131"/>
      <c r="N1460" s="131"/>
      <c r="O1460" s="131"/>
      <c r="P1460" s="131"/>
      <c r="Q1460" s="131"/>
      <c r="R1460" s="131"/>
      <c r="S1460" s="131"/>
      <c r="T1460" s="131"/>
      <c r="U1460" s="131"/>
      <c r="V1460" s="131"/>
      <c r="W1460" s="131"/>
      <c r="X1460" s="131"/>
      <c r="Y1460" s="131"/>
      <c r="Z1460" s="131"/>
      <c r="AA1460" s="131"/>
      <c r="AB1460" s="131"/>
      <c r="AC1460" s="131"/>
    </row>
    <row r="1461" spans="2:29" x14ac:dyDescent="0.2">
      <c r="B1461" s="151"/>
      <c r="C1461" s="152"/>
      <c r="H1461" s="340"/>
      <c r="L1461" s="131"/>
      <c r="M1461" s="131"/>
      <c r="N1461" s="131"/>
      <c r="O1461" s="131"/>
      <c r="P1461" s="131"/>
      <c r="Q1461" s="131"/>
      <c r="R1461" s="131"/>
      <c r="S1461" s="131"/>
      <c r="T1461" s="131"/>
      <c r="U1461" s="131"/>
      <c r="V1461" s="131"/>
      <c r="W1461" s="131"/>
      <c r="X1461" s="131"/>
      <c r="Y1461" s="131"/>
      <c r="Z1461" s="131"/>
      <c r="AA1461" s="131"/>
      <c r="AB1461" s="131"/>
      <c r="AC1461" s="131"/>
    </row>
    <row r="1462" spans="2:29" x14ac:dyDescent="0.2">
      <c r="B1462" s="151"/>
      <c r="C1462" s="152"/>
      <c r="H1462" s="340"/>
      <c r="L1462" s="131"/>
      <c r="M1462" s="131"/>
      <c r="N1462" s="131"/>
      <c r="O1462" s="131"/>
      <c r="P1462" s="131"/>
      <c r="Q1462" s="131"/>
      <c r="R1462" s="131"/>
      <c r="S1462" s="131"/>
      <c r="T1462" s="131"/>
      <c r="U1462" s="131"/>
      <c r="V1462" s="131"/>
      <c r="W1462" s="131"/>
      <c r="X1462" s="131"/>
      <c r="Y1462" s="131"/>
      <c r="Z1462" s="131"/>
      <c r="AA1462" s="131"/>
      <c r="AB1462" s="131"/>
      <c r="AC1462" s="131"/>
    </row>
    <row r="1463" spans="2:29" x14ac:dyDescent="0.2">
      <c r="B1463" s="151"/>
      <c r="C1463" s="152"/>
      <c r="H1463" s="340"/>
      <c r="L1463" s="131"/>
      <c r="M1463" s="131"/>
      <c r="N1463" s="131"/>
      <c r="O1463" s="131"/>
      <c r="P1463" s="131"/>
      <c r="Q1463" s="131"/>
      <c r="R1463" s="131"/>
      <c r="S1463" s="131"/>
      <c r="T1463" s="131"/>
      <c r="U1463" s="131"/>
      <c r="V1463" s="131"/>
      <c r="W1463" s="131"/>
      <c r="X1463" s="131"/>
      <c r="Y1463" s="131"/>
      <c r="Z1463" s="131"/>
      <c r="AA1463" s="131"/>
      <c r="AB1463" s="131"/>
      <c r="AC1463" s="131"/>
    </row>
    <row r="1464" spans="2:29" x14ac:dyDescent="0.2">
      <c r="B1464" s="151"/>
      <c r="C1464" s="152"/>
      <c r="H1464" s="340"/>
      <c r="L1464" s="131"/>
      <c r="M1464" s="131"/>
      <c r="N1464" s="131"/>
      <c r="O1464" s="131"/>
      <c r="P1464" s="131"/>
      <c r="Q1464" s="131"/>
      <c r="R1464" s="131"/>
      <c r="S1464" s="131"/>
      <c r="T1464" s="131"/>
      <c r="U1464" s="131"/>
      <c r="V1464" s="131"/>
      <c r="W1464" s="131"/>
      <c r="X1464" s="131"/>
      <c r="Y1464" s="131"/>
      <c r="Z1464" s="131"/>
      <c r="AA1464" s="131"/>
      <c r="AB1464" s="131"/>
      <c r="AC1464" s="131"/>
    </row>
    <row r="1465" spans="2:29" x14ac:dyDescent="0.2">
      <c r="B1465" s="151"/>
      <c r="C1465" s="152"/>
      <c r="H1465" s="340"/>
      <c r="L1465" s="131"/>
      <c r="M1465" s="131"/>
      <c r="N1465" s="131"/>
      <c r="O1465" s="131"/>
      <c r="P1465" s="131"/>
      <c r="Q1465" s="131"/>
      <c r="R1465" s="131"/>
      <c r="S1465" s="131"/>
      <c r="T1465" s="131"/>
      <c r="U1465" s="131"/>
      <c r="V1465" s="131"/>
      <c r="W1465" s="131"/>
      <c r="X1465" s="131"/>
      <c r="Y1465" s="131"/>
      <c r="Z1465" s="131"/>
      <c r="AA1465" s="131"/>
      <c r="AB1465" s="131"/>
      <c r="AC1465" s="131"/>
    </row>
    <row r="1466" spans="2:29" x14ac:dyDescent="0.2">
      <c r="B1466" s="151"/>
      <c r="C1466" s="152"/>
      <c r="H1466" s="340"/>
      <c r="L1466" s="131"/>
      <c r="M1466" s="131"/>
      <c r="N1466" s="131"/>
      <c r="O1466" s="131"/>
      <c r="P1466" s="131"/>
      <c r="Q1466" s="131"/>
      <c r="R1466" s="131"/>
      <c r="S1466" s="131"/>
      <c r="T1466" s="131"/>
      <c r="U1466" s="131"/>
      <c r="V1466" s="131"/>
      <c r="W1466" s="131"/>
      <c r="X1466" s="131"/>
      <c r="Y1466" s="131"/>
      <c r="Z1466" s="131"/>
      <c r="AA1466" s="131"/>
      <c r="AB1466" s="131"/>
      <c r="AC1466" s="131"/>
    </row>
    <row r="1467" spans="2:29" x14ac:dyDescent="0.2">
      <c r="B1467" s="151"/>
      <c r="C1467" s="152"/>
      <c r="H1467" s="340"/>
      <c r="L1467" s="131"/>
      <c r="M1467" s="131"/>
      <c r="N1467" s="131"/>
      <c r="O1467" s="131"/>
      <c r="P1467" s="131"/>
      <c r="Q1467" s="131"/>
      <c r="R1467" s="131"/>
      <c r="S1467" s="131"/>
      <c r="T1467" s="131"/>
      <c r="U1467" s="131"/>
      <c r="V1467" s="131"/>
      <c r="W1467" s="131"/>
      <c r="X1467" s="131"/>
      <c r="Y1467" s="131"/>
      <c r="Z1467" s="131"/>
      <c r="AA1467" s="131"/>
      <c r="AB1467" s="131"/>
      <c r="AC1467" s="131"/>
    </row>
    <row r="1468" spans="2:29" x14ac:dyDescent="0.2">
      <c r="B1468" s="151"/>
      <c r="C1468" s="152"/>
      <c r="H1468" s="340"/>
      <c r="L1468" s="131"/>
      <c r="M1468" s="131"/>
      <c r="N1468" s="131"/>
      <c r="O1468" s="131"/>
      <c r="P1468" s="131"/>
      <c r="Q1468" s="131"/>
      <c r="R1468" s="131"/>
      <c r="S1468" s="131"/>
      <c r="T1468" s="131"/>
      <c r="U1468" s="131"/>
      <c r="V1468" s="131"/>
      <c r="W1468" s="131"/>
      <c r="X1468" s="131"/>
      <c r="Y1468" s="131"/>
      <c r="Z1468" s="131"/>
      <c r="AA1468" s="131"/>
      <c r="AB1468" s="131"/>
      <c r="AC1468" s="131"/>
    </row>
    <row r="1469" spans="2:29" x14ac:dyDescent="0.2">
      <c r="B1469" s="151"/>
      <c r="C1469" s="152"/>
      <c r="H1469" s="340"/>
      <c r="L1469" s="131"/>
      <c r="M1469" s="131"/>
      <c r="N1469" s="131"/>
      <c r="O1469" s="131"/>
      <c r="P1469" s="131"/>
      <c r="Q1469" s="131"/>
      <c r="R1469" s="131"/>
      <c r="S1469" s="131"/>
      <c r="T1469" s="131"/>
      <c r="U1469" s="131"/>
      <c r="V1469" s="131"/>
      <c r="W1469" s="131"/>
      <c r="X1469" s="131"/>
      <c r="Y1469" s="131"/>
      <c r="Z1469" s="131"/>
      <c r="AA1469" s="131"/>
      <c r="AB1469" s="131"/>
      <c r="AC1469" s="131"/>
    </row>
    <row r="1470" spans="2:29" x14ac:dyDescent="0.2">
      <c r="B1470" s="151"/>
      <c r="C1470" s="152"/>
      <c r="H1470" s="340"/>
      <c r="L1470" s="131"/>
      <c r="M1470" s="131"/>
      <c r="N1470" s="131"/>
      <c r="O1470" s="131"/>
      <c r="P1470" s="131"/>
      <c r="Q1470" s="131"/>
      <c r="R1470" s="131"/>
      <c r="S1470" s="131"/>
      <c r="T1470" s="131"/>
      <c r="U1470" s="131"/>
      <c r="V1470" s="131"/>
      <c r="W1470" s="131"/>
      <c r="X1470" s="131"/>
      <c r="Y1470" s="131"/>
      <c r="Z1470" s="131"/>
      <c r="AA1470" s="131"/>
      <c r="AB1470" s="131"/>
      <c r="AC1470" s="131"/>
    </row>
    <row r="1471" spans="2:29" x14ac:dyDescent="0.2">
      <c r="B1471" s="151"/>
      <c r="C1471" s="152"/>
      <c r="H1471" s="340"/>
      <c r="L1471" s="131"/>
      <c r="M1471" s="131"/>
      <c r="N1471" s="131"/>
      <c r="O1471" s="131"/>
      <c r="P1471" s="131"/>
      <c r="Q1471" s="131"/>
      <c r="R1471" s="131"/>
      <c r="S1471" s="131"/>
      <c r="T1471" s="131"/>
      <c r="U1471" s="131"/>
      <c r="V1471" s="131"/>
      <c r="W1471" s="131"/>
      <c r="X1471" s="131"/>
      <c r="Y1471" s="131"/>
      <c r="Z1471" s="131"/>
      <c r="AA1471" s="131"/>
      <c r="AB1471" s="131"/>
      <c r="AC1471" s="131"/>
    </row>
    <row r="1472" spans="2:29" x14ac:dyDescent="0.2">
      <c r="B1472" s="151"/>
      <c r="C1472" s="152"/>
      <c r="H1472" s="340"/>
      <c r="L1472" s="131"/>
      <c r="M1472" s="131"/>
      <c r="N1472" s="131"/>
      <c r="O1472" s="131"/>
      <c r="P1472" s="131"/>
      <c r="Q1472" s="131"/>
      <c r="R1472" s="131"/>
      <c r="S1472" s="131"/>
      <c r="T1472" s="131"/>
      <c r="U1472" s="131"/>
      <c r="V1472" s="131"/>
      <c r="W1472" s="131"/>
      <c r="X1472" s="131"/>
      <c r="Y1472" s="131"/>
      <c r="Z1472" s="131"/>
      <c r="AA1472" s="131"/>
      <c r="AB1472" s="131"/>
      <c r="AC1472" s="131"/>
    </row>
    <row r="1473" spans="2:29" x14ac:dyDescent="0.2">
      <c r="B1473" s="151"/>
      <c r="C1473" s="152"/>
      <c r="H1473" s="340"/>
      <c r="L1473" s="131"/>
      <c r="M1473" s="131"/>
      <c r="N1473" s="131"/>
      <c r="O1473" s="131"/>
      <c r="P1473" s="131"/>
      <c r="Q1473" s="131"/>
      <c r="R1473" s="131"/>
      <c r="S1473" s="131"/>
      <c r="T1473" s="131"/>
      <c r="U1473" s="131"/>
      <c r="V1473" s="131"/>
      <c r="W1473" s="131"/>
      <c r="X1473" s="131"/>
      <c r="Y1473" s="131"/>
      <c r="Z1473" s="131"/>
      <c r="AA1473" s="131"/>
      <c r="AB1473" s="131"/>
      <c r="AC1473" s="131"/>
    </row>
    <row r="1474" spans="2:29" x14ac:dyDescent="0.2">
      <c r="B1474" s="151"/>
      <c r="C1474" s="152"/>
      <c r="H1474" s="340"/>
      <c r="L1474" s="131"/>
      <c r="M1474" s="131"/>
      <c r="N1474" s="131"/>
      <c r="O1474" s="131"/>
      <c r="P1474" s="131"/>
      <c r="Q1474" s="131"/>
      <c r="R1474" s="131"/>
      <c r="S1474" s="131"/>
      <c r="T1474" s="131"/>
      <c r="U1474" s="131"/>
      <c r="V1474" s="131"/>
      <c r="W1474" s="131"/>
      <c r="X1474" s="131"/>
      <c r="Y1474" s="131"/>
      <c r="Z1474" s="131"/>
      <c r="AA1474" s="131"/>
      <c r="AB1474" s="131"/>
      <c r="AC1474" s="131"/>
    </row>
    <row r="1475" spans="2:29" x14ac:dyDescent="0.2">
      <c r="B1475" s="151"/>
      <c r="C1475" s="152"/>
      <c r="H1475" s="340"/>
      <c r="L1475" s="131"/>
      <c r="M1475" s="131"/>
      <c r="N1475" s="131"/>
      <c r="O1475" s="131"/>
      <c r="P1475" s="131"/>
      <c r="Q1475" s="131"/>
      <c r="R1475" s="131"/>
      <c r="S1475" s="131"/>
      <c r="T1475" s="131"/>
      <c r="U1475" s="131"/>
      <c r="V1475" s="131"/>
      <c r="W1475" s="131"/>
      <c r="X1475" s="131"/>
      <c r="Y1475" s="131"/>
      <c r="Z1475" s="131"/>
      <c r="AA1475" s="131"/>
      <c r="AB1475" s="131"/>
      <c r="AC1475" s="131"/>
    </row>
    <row r="1476" spans="2:29" x14ac:dyDescent="0.2">
      <c r="B1476" s="151"/>
      <c r="C1476" s="152"/>
      <c r="H1476" s="340"/>
      <c r="L1476" s="131"/>
      <c r="M1476" s="131"/>
      <c r="N1476" s="131"/>
      <c r="O1476" s="131"/>
      <c r="P1476" s="131"/>
      <c r="Q1476" s="131"/>
      <c r="R1476" s="131"/>
      <c r="S1476" s="131"/>
      <c r="T1476" s="131"/>
      <c r="U1476" s="131"/>
      <c r="V1476" s="131"/>
      <c r="W1476" s="131"/>
      <c r="X1476" s="131"/>
      <c r="Y1476" s="131"/>
      <c r="Z1476" s="131"/>
      <c r="AA1476" s="131"/>
      <c r="AB1476" s="131"/>
      <c r="AC1476" s="131"/>
    </row>
    <row r="1477" spans="2:29" x14ac:dyDescent="0.2">
      <c r="B1477" s="151"/>
      <c r="C1477" s="152"/>
      <c r="H1477" s="340"/>
      <c r="L1477" s="131"/>
      <c r="M1477" s="131"/>
      <c r="N1477" s="131"/>
      <c r="O1477" s="131"/>
      <c r="P1477" s="131"/>
      <c r="Q1477" s="131"/>
      <c r="R1477" s="131"/>
      <c r="S1477" s="131"/>
      <c r="T1477" s="131"/>
      <c r="U1477" s="131"/>
      <c r="V1477" s="131"/>
      <c r="W1477" s="131"/>
      <c r="X1477" s="131"/>
      <c r="Y1477" s="131"/>
      <c r="Z1477" s="131"/>
      <c r="AA1477" s="131"/>
      <c r="AB1477" s="131"/>
      <c r="AC1477" s="131"/>
    </row>
    <row r="1478" spans="2:29" x14ac:dyDescent="0.2">
      <c r="B1478" s="151"/>
      <c r="C1478" s="152"/>
      <c r="H1478" s="340"/>
      <c r="L1478" s="131"/>
      <c r="M1478" s="131"/>
      <c r="N1478" s="131"/>
      <c r="O1478" s="131"/>
      <c r="P1478" s="131"/>
      <c r="Q1478" s="131"/>
      <c r="R1478" s="131"/>
      <c r="S1478" s="131"/>
      <c r="T1478" s="131"/>
      <c r="U1478" s="131"/>
      <c r="V1478" s="131"/>
      <c r="W1478" s="131"/>
      <c r="X1478" s="131"/>
      <c r="Y1478" s="131"/>
      <c r="Z1478" s="131"/>
      <c r="AA1478" s="131"/>
      <c r="AB1478" s="131"/>
      <c r="AC1478" s="131"/>
    </row>
    <row r="1479" spans="2:29" x14ac:dyDescent="0.2">
      <c r="B1479" s="151"/>
      <c r="C1479" s="152"/>
      <c r="H1479" s="340"/>
      <c r="L1479" s="131"/>
      <c r="M1479" s="131"/>
      <c r="N1479" s="131"/>
      <c r="O1479" s="131"/>
      <c r="P1479" s="131"/>
      <c r="Q1479" s="131"/>
      <c r="R1479" s="131"/>
      <c r="S1479" s="131"/>
      <c r="T1479" s="131"/>
      <c r="U1479" s="131"/>
      <c r="V1479" s="131"/>
      <c r="W1479" s="131"/>
      <c r="X1479" s="131"/>
      <c r="Y1479" s="131"/>
      <c r="Z1479" s="131"/>
      <c r="AA1479" s="131"/>
      <c r="AB1479" s="131"/>
      <c r="AC1479" s="131"/>
    </row>
    <row r="1480" spans="2:29" x14ac:dyDescent="0.2">
      <c r="B1480" s="151"/>
      <c r="C1480" s="152"/>
      <c r="H1480" s="340"/>
      <c r="L1480" s="131"/>
      <c r="M1480" s="131"/>
      <c r="N1480" s="131"/>
      <c r="O1480" s="131"/>
      <c r="P1480" s="131"/>
      <c r="Q1480" s="131"/>
      <c r="R1480" s="131"/>
      <c r="S1480" s="131"/>
      <c r="T1480" s="131"/>
      <c r="U1480" s="131"/>
      <c r="V1480" s="131"/>
      <c r="W1480" s="131"/>
      <c r="X1480" s="131"/>
      <c r="Y1480" s="131"/>
      <c r="Z1480" s="131"/>
      <c r="AA1480" s="131"/>
      <c r="AB1480" s="131"/>
      <c r="AC1480" s="131"/>
    </row>
    <row r="1481" spans="2:29" x14ac:dyDescent="0.2">
      <c r="B1481" s="151"/>
      <c r="C1481" s="152"/>
      <c r="H1481" s="340"/>
      <c r="L1481" s="131"/>
      <c r="M1481" s="131"/>
      <c r="N1481" s="131"/>
      <c r="O1481" s="131"/>
      <c r="P1481" s="131"/>
      <c r="Q1481" s="131"/>
      <c r="R1481" s="131"/>
      <c r="S1481" s="131"/>
      <c r="T1481" s="131"/>
      <c r="U1481" s="131"/>
      <c r="V1481" s="131"/>
      <c r="W1481" s="131"/>
      <c r="X1481" s="131"/>
      <c r="Y1481" s="131"/>
      <c r="Z1481" s="131"/>
      <c r="AA1481" s="131"/>
      <c r="AB1481" s="131"/>
      <c r="AC1481" s="131"/>
    </row>
    <row r="1482" spans="2:29" x14ac:dyDescent="0.2">
      <c r="B1482" s="151"/>
      <c r="C1482" s="152"/>
      <c r="H1482" s="340"/>
      <c r="L1482" s="131"/>
      <c r="M1482" s="131"/>
      <c r="N1482" s="131"/>
      <c r="O1482" s="131"/>
      <c r="P1482" s="131"/>
      <c r="Q1482" s="131"/>
      <c r="R1482" s="131"/>
      <c r="S1482" s="131"/>
      <c r="T1482" s="131"/>
      <c r="U1482" s="131"/>
      <c r="V1482" s="131"/>
      <c r="W1482" s="131"/>
      <c r="X1482" s="131"/>
      <c r="Y1482" s="131"/>
      <c r="Z1482" s="131"/>
      <c r="AA1482" s="131"/>
      <c r="AB1482" s="131"/>
      <c r="AC1482" s="131"/>
    </row>
    <row r="1483" spans="2:29" x14ac:dyDescent="0.2">
      <c r="B1483" s="151"/>
      <c r="C1483" s="152"/>
      <c r="H1483" s="340"/>
      <c r="L1483" s="131"/>
      <c r="M1483" s="131"/>
      <c r="N1483" s="131"/>
      <c r="O1483" s="131"/>
      <c r="P1483" s="131"/>
      <c r="Q1483" s="131"/>
      <c r="R1483" s="131"/>
      <c r="S1483" s="131"/>
      <c r="T1483" s="131"/>
      <c r="U1483" s="131"/>
      <c r="V1483" s="131"/>
      <c r="W1483" s="131"/>
      <c r="X1483" s="131"/>
      <c r="Y1483" s="131"/>
      <c r="Z1483" s="131"/>
      <c r="AA1483" s="131"/>
      <c r="AB1483" s="131"/>
      <c r="AC1483" s="131"/>
    </row>
    <row r="1484" spans="2:29" x14ac:dyDescent="0.2">
      <c r="B1484" s="151"/>
      <c r="C1484" s="152"/>
      <c r="H1484" s="340"/>
      <c r="L1484" s="131"/>
      <c r="M1484" s="131"/>
      <c r="N1484" s="131"/>
      <c r="O1484" s="131"/>
      <c r="P1484" s="131"/>
      <c r="Q1484" s="131"/>
      <c r="R1484" s="131"/>
      <c r="S1484" s="131"/>
      <c r="T1484" s="131"/>
      <c r="U1484" s="131"/>
      <c r="V1484" s="131"/>
      <c r="W1484" s="131"/>
      <c r="X1484" s="131"/>
      <c r="Y1484" s="131"/>
      <c r="Z1484" s="131"/>
      <c r="AA1484" s="131"/>
      <c r="AB1484" s="131"/>
      <c r="AC1484" s="131"/>
    </row>
    <row r="1485" spans="2:29" x14ac:dyDescent="0.2">
      <c r="B1485" s="151"/>
      <c r="C1485" s="152"/>
      <c r="H1485" s="340"/>
      <c r="L1485" s="131"/>
      <c r="M1485" s="131"/>
      <c r="N1485" s="131"/>
      <c r="O1485" s="131"/>
      <c r="P1485" s="131"/>
      <c r="Q1485" s="131"/>
      <c r="R1485" s="131"/>
      <c r="S1485" s="131"/>
      <c r="T1485" s="131"/>
      <c r="U1485" s="131"/>
      <c r="V1485" s="131"/>
      <c r="W1485" s="131"/>
      <c r="X1485" s="131"/>
      <c r="Y1485" s="131"/>
      <c r="Z1485" s="131"/>
      <c r="AA1485" s="131"/>
      <c r="AB1485" s="131"/>
      <c r="AC1485" s="131"/>
    </row>
    <row r="1486" spans="2:29" x14ac:dyDescent="0.2">
      <c r="B1486" s="151"/>
      <c r="C1486" s="152"/>
      <c r="H1486" s="340"/>
      <c r="L1486" s="131"/>
      <c r="M1486" s="131"/>
      <c r="N1486" s="131"/>
      <c r="O1486" s="131"/>
      <c r="P1486" s="131"/>
      <c r="Q1486" s="131"/>
      <c r="R1486" s="131"/>
      <c r="S1486" s="131"/>
      <c r="T1486" s="131"/>
      <c r="U1486" s="131"/>
      <c r="V1486" s="131"/>
      <c r="W1486" s="131"/>
      <c r="X1486" s="131"/>
      <c r="Y1486" s="131"/>
      <c r="Z1486" s="131"/>
      <c r="AA1486" s="131"/>
      <c r="AB1486" s="131"/>
      <c r="AC1486" s="131"/>
    </row>
    <row r="1487" spans="2:29" x14ac:dyDescent="0.2">
      <c r="B1487" s="151"/>
      <c r="C1487" s="152"/>
      <c r="H1487" s="340"/>
      <c r="L1487" s="131"/>
      <c r="M1487" s="131"/>
      <c r="N1487" s="131"/>
      <c r="O1487" s="131"/>
      <c r="P1487" s="131"/>
      <c r="Q1487" s="131"/>
      <c r="R1487" s="131"/>
      <c r="S1487" s="131"/>
      <c r="T1487" s="131"/>
      <c r="U1487" s="131"/>
      <c r="V1487" s="131"/>
      <c r="W1487" s="131"/>
      <c r="X1487" s="131"/>
      <c r="Y1487" s="131"/>
      <c r="Z1487" s="131"/>
      <c r="AA1487" s="131"/>
      <c r="AB1487" s="131"/>
      <c r="AC1487" s="131"/>
    </row>
    <row r="1488" spans="2:29" x14ac:dyDescent="0.2">
      <c r="B1488" s="151"/>
      <c r="C1488" s="152"/>
      <c r="H1488" s="340"/>
      <c r="L1488" s="131"/>
      <c r="M1488" s="131"/>
      <c r="N1488" s="131"/>
      <c r="O1488" s="131"/>
      <c r="P1488" s="131"/>
      <c r="Q1488" s="131"/>
      <c r="R1488" s="131"/>
      <c r="S1488" s="131"/>
      <c r="T1488" s="131"/>
      <c r="U1488" s="131"/>
      <c r="V1488" s="131"/>
      <c r="W1488" s="131"/>
      <c r="X1488" s="131"/>
      <c r="Y1488" s="131"/>
      <c r="Z1488" s="131"/>
      <c r="AA1488" s="131"/>
      <c r="AB1488" s="131"/>
      <c r="AC1488" s="131"/>
    </row>
    <row r="1489" spans="2:29" x14ac:dyDescent="0.2">
      <c r="B1489" s="151"/>
      <c r="C1489" s="152"/>
      <c r="H1489" s="340"/>
      <c r="L1489" s="131"/>
      <c r="M1489" s="131"/>
      <c r="N1489" s="131"/>
      <c r="O1489" s="131"/>
      <c r="P1489" s="131"/>
      <c r="Q1489" s="131"/>
      <c r="R1489" s="131"/>
      <c r="S1489" s="131"/>
      <c r="T1489" s="131"/>
      <c r="U1489" s="131"/>
      <c r="V1489" s="131"/>
      <c r="W1489" s="131"/>
      <c r="X1489" s="131"/>
      <c r="Y1489" s="131"/>
      <c r="Z1489" s="131"/>
      <c r="AA1489" s="131"/>
      <c r="AB1489" s="131"/>
      <c r="AC1489" s="131"/>
    </row>
    <row r="1490" spans="2:29" x14ac:dyDescent="0.2">
      <c r="B1490" s="151"/>
      <c r="C1490" s="152"/>
      <c r="H1490" s="340"/>
      <c r="L1490" s="131"/>
      <c r="M1490" s="131"/>
      <c r="N1490" s="131"/>
      <c r="O1490" s="131"/>
      <c r="P1490" s="131"/>
      <c r="Q1490" s="131"/>
      <c r="R1490" s="131"/>
      <c r="S1490" s="131"/>
      <c r="T1490" s="131"/>
      <c r="U1490" s="131"/>
      <c r="V1490" s="131"/>
      <c r="W1490" s="131"/>
      <c r="X1490" s="131"/>
      <c r="Y1490" s="131"/>
      <c r="Z1490" s="131"/>
      <c r="AA1490" s="131"/>
      <c r="AB1490" s="131"/>
      <c r="AC1490" s="131"/>
    </row>
    <row r="1491" spans="2:29" x14ac:dyDescent="0.2">
      <c r="B1491" s="151"/>
      <c r="C1491" s="152"/>
      <c r="H1491" s="340"/>
      <c r="L1491" s="131"/>
      <c r="M1491" s="131"/>
      <c r="N1491" s="131"/>
      <c r="O1491" s="131"/>
      <c r="P1491" s="131"/>
      <c r="Q1491" s="131"/>
      <c r="R1491" s="131"/>
      <c r="S1491" s="131"/>
      <c r="T1491" s="131"/>
      <c r="U1491" s="131"/>
      <c r="V1491" s="131"/>
      <c r="W1491" s="131"/>
      <c r="X1491" s="131"/>
      <c r="Y1491" s="131"/>
      <c r="Z1491" s="131"/>
      <c r="AA1491" s="131"/>
      <c r="AB1491" s="131"/>
      <c r="AC1491" s="131"/>
    </row>
    <row r="1492" spans="2:29" x14ac:dyDescent="0.2">
      <c r="B1492" s="151"/>
      <c r="C1492" s="152"/>
      <c r="H1492" s="340"/>
      <c r="L1492" s="131"/>
      <c r="M1492" s="131"/>
      <c r="N1492" s="131"/>
      <c r="O1492" s="131"/>
      <c r="P1492" s="131"/>
      <c r="Q1492" s="131"/>
      <c r="R1492" s="131"/>
      <c r="S1492" s="131"/>
      <c r="T1492" s="131"/>
      <c r="U1492" s="131"/>
      <c r="V1492" s="131"/>
      <c r="W1492" s="131"/>
      <c r="X1492" s="131"/>
      <c r="Y1492" s="131"/>
      <c r="Z1492" s="131"/>
      <c r="AA1492" s="131"/>
      <c r="AB1492" s="131"/>
      <c r="AC1492" s="131"/>
    </row>
    <row r="1493" spans="2:29" x14ac:dyDescent="0.2">
      <c r="B1493" s="151"/>
      <c r="C1493" s="152"/>
      <c r="H1493" s="340"/>
      <c r="L1493" s="131"/>
      <c r="M1493" s="131"/>
      <c r="N1493" s="131"/>
      <c r="O1493" s="131"/>
      <c r="P1493" s="131"/>
      <c r="Q1493" s="131"/>
      <c r="R1493" s="131"/>
      <c r="S1493" s="131"/>
      <c r="T1493" s="131"/>
      <c r="U1493" s="131"/>
      <c r="V1493" s="131"/>
      <c r="W1493" s="131"/>
      <c r="X1493" s="131"/>
      <c r="Y1493" s="131"/>
      <c r="Z1493" s="131"/>
      <c r="AA1493" s="131"/>
      <c r="AB1493" s="131"/>
      <c r="AC1493" s="131"/>
    </row>
    <row r="1494" spans="2:29" x14ac:dyDescent="0.2">
      <c r="B1494" s="151"/>
      <c r="C1494" s="152"/>
      <c r="H1494" s="340"/>
      <c r="L1494" s="131"/>
      <c r="M1494" s="131"/>
      <c r="N1494" s="131"/>
      <c r="O1494" s="131"/>
      <c r="P1494" s="131"/>
      <c r="Q1494" s="131"/>
      <c r="R1494" s="131"/>
      <c r="S1494" s="131"/>
      <c r="T1494" s="131"/>
      <c r="U1494" s="131"/>
      <c r="V1494" s="131"/>
      <c r="W1494" s="131"/>
      <c r="X1494" s="131"/>
      <c r="Y1494" s="131"/>
      <c r="Z1494" s="131"/>
      <c r="AA1494" s="131"/>
      <c r="AB1494" s="131"/>
      <c r="AC1494" s="131"/>
    </row>
    <row r="1495" spans="2:29" x14ac:dyDescent="0.2">
      <c r="B1495" s="151"/>
      <c r="C1495" s="152"/>
      <c r="H1495" s="340"/>
      <c r="L1495" s="131"/>
      <c r="M1495" s="131"/>
      <c r="N1495" s="131"/>
      <c r="O1495" s="131"/>
      <c r="P1495" s="131"/>
      <c r="Q1495" s="131"/>
      <c r="R1495" s="131"/>
      <c r="S1495" s="131"/>
      <c r="T1495" s="131"/>
      <c r="U1495" s="131"/>
      <c r="V1495" s="131"/>
      <c r="W1495" s="131"/>
      <c r="X1495" s="131"/>
      <c r="Y1495" s="131"/>
      <c r="Z1495" s="131"/>
      <c r="AA1495" s="131"/>
      <c r="AB1495" s="131"/>
      <c r="AC1495" s="131"/>
    </row>
    <row r="1496" spans="2:29" x14ac:dyDescent="0.2">
      <c r="B1496" s="151"/>
      <c r="C1496" s="152"/>
      <c r="H1496" s="340"/>
      <c r="L1496" s="131"/>
      <c r="M1496" s="131"/>
      <c r="N1496" s="131"/>
      <c r="O1496" s="131"/>
      <c r="P1496" s="131"/>
      <c r="Q1496" s="131"/>
      <c r="R1496" s="131"/>
      <c r="S1496" s="131"/>
      <c r="T1496" s="131"/>
      <c r="U1496" s="131"/>
      <c r="V1496" s="131"/>
      <c r="W1496" s="131"/>
      <c r="X1496" s="131"/>
      <c r="Y1496" s="131"/>
      <c r="Z1496" s="131"/>
      <c r="AA1496" s="131"/>
      <c r="AB1496" s="131"/>
      <c r="AC1496" s="131"/>
    </row>
    <row r="1497" spans="2:29" x14ac:dyDescent="0.2">
      <c r="B1497" s="151"/>
      <c r="C1497" s="152"/>
      <c r="H1497" s="340"/>
      <c r="L1497" s="131"/>
      <c r="M1497" s="131"/>
      <c r="N1497" s="131"/>
      <c r="O1497" s="131"/>
      <c r="P1497" s="131"/>
      <c r="Q1497" s="131"/>
      <c r="R1497" s="131"/>
      <c r="S1497" s="131"/>
      <c r="T1497" s="131"/>
      <c r="U1497" s="131"/>
      <c r="V1497" s="131"/>
      <c r="W1497" s="131"/>
      <c r="X1497" s="131"/>
      <c r="Y1497" s="131"/>
      <c r="Z1497" s="131"/>
      <c r="AA1497" s="131"/>
      <c r="AB1497" s="131"/>
      <c r="AC1497" s="131"/>
    </row>
    <row r="1498" spans="2:29" x14ac:dyDescent="0.2">
      <c r="B1498" s="151"/>
      <c r="C1498" s="152"/>
      <c r="H1498" s="340"/>
      <c r="L1498" s="131"/>
      <c r="M1498" s="131"/>
      <c r="N1498" s="131"/>
      <c r="O1498" s="131"/>
      <c r="P1498" s="131"/>
      <c r="Q1498" s="131"/>
      <c r="R1498" s="131"/>
      <c r="S1498" s="131"/>
      <c r="T1498" s="131"/>
      <c r="U1498" s="131"/>
      <c r="V1498" s="131"/>
      <c r="W1498" s="131"/>
      <c r="X1498" s="131"/>
      <c r="Y1498" s="131"/>
      <c r="Z1498" s="131"/>
      <c r="AA1498" s="131"/>
      <c r="AB1498" s="131"/>
      <c r="AC1498" s="131"/>
    </row>
    <row r="1499" spans="2:29" x14ac:dyDescent="0.2">
      <c r="B1499" s="151"/>
      <c r="C1499" s="152"/>
      <c r="H1499" s="340"/>
      <c r="L1499" s="131"/>
      <c r="M1499" s="131"/>
      <c r="N1499" s="131"/>
      <c r="O1499" s="131"/>
      <c r="P1499" s="131"/>
      <c r="Q1499" s="131"/>
      <c r="R1499" s="131"/>
      <c r="S1499" s="131"/>
      <c r="T1499" s="131"/>
      <c r="U1499" s="131"/>
      <c r="V1499" s="131"/>
      <c r="W1499" s="131"/>
      <c r="X1499" s="131"/>
      <c r="Y1499" s="131"/>
      <c r="Z1499" s="131"/>
      <c r="AA1499" s="131"/>
      <c r="AB1499" s="131"/>
      <c r="AC1499" s="131"/>
    </row>
    <row r="1500" spans="2:29" x14ac:dyDescent="0.2">
      <c r="B1500" s="151"/>
      <c r="C1500" s="152"/>
      <c r="H1500" s="340"/>
      <c r="L1500" s="131"/>
      <c r="M1500" s="131"/>
      <c r="N1500" s="131"/>
      <c r="O1500" s="131"/>
      <c r="P1500" s="131"/>
      <c r="Q1500" s="131"/>
      <c r="R1500" s="131"/>
      <c r="S1500" s="131"/>
      <c r="T1500" s="131"/>
      <c r="U1500" s="131"/>
      <c r="V1500" s="131"/>
      <c r="W1500" s="131"/>
      <c r="X1500" s="131"/>
      <c r="Y1500" s="131"/>
      <c r="Z1500" s="131"/>
      <c r="AA1500" s="131"/>
      <c r="AB1500" s="131"/>
      <c r="AC1500" s="131"/>
    </row>
    <row r="1501" spans="2:29" x14ac:dyDescent="0.2">
      <c r="B1501" s="151"/>
      <c r="C1501" s="152"/>
      <c r="H1501" s="340"/>
      <c r="L1501" s="131"/>
      <c r="M1501" s="131"/>
      <c r="N1501" s="131"/>
      <c r="O1501" s="131"/>
      <c r="P1501" s="131"/>
      <c r="Q1501" s="131"/>
      <c r="R1501" s="131"/>
      <c r="S1501" s="131"/>
      <c r="T1501" s="131"/>
      <c r="U1501" s="131"/>
      <c r="V1501" s="131"/>
      <c r="W1501" s="131"/>
      <c r="X1501" s="131"/>
      <c r="Y1501" s="131"/>
      <c r="Z1501" s="131"/>
      <c r="AA1501" s="131"/>
      <c r="AB1501" s="131"/>
      <c r="AC1501" s="131"/>
    </row>
    <row r="1502" spans="2:29" x14ac:dyDescent="0.2">
      <c r="B1502" s="151"/>
      <c r="C1502" s="152"/>
      <c r="H1502" s="340"/>
      <c r="L1502" s="131"/>
      <c r="M1502" s="131"/>
      <c r="N1502" s="131"/>
      <c r="O1502" s="131"/>
      <c r="P1502" s="131"/>
      <c r="Q1502" s="131"/>
      <c r="R1502" s="131"/>
      <c r="S1502" s="131"/>
      <c r="T1502" s="131"/>
      <c r="U1502" s="131"/>
      <c r="V1502" s="131"/>
      <c r="W1502" s="131"/>
      <c r="X1502" s="131"/>
      <c r="Y1502" s="131"/>
      <c r="Z1502" s="131"/>
      <c r="AA1502" s="131"/>
      <c r="AB1502" s="131"/>
      <c r="AC1502" s="131"/>
    </row>
    <row r="1503" spans="2:29" x14ac:dyDescent="0.2">
      <c r="B1503" s="151"/>
      <c r="C1503" s="152"/>
      <c r="H1503" s="340"/>
      <c r="L1503" s="131"/>
      <c r="M1503" s="131"/>
      <c r="N1503" s="131"/>
      <c r="O1503" s="131"/>
      <c r="P1503" s="131"/>
      <c r="Q1503" s="131"/>
      <c r="R1503" s="131"/>
      <c r="S1503" s="131"/>
      <c r="T1503" s="131"/>
      <c r="U1503" s="131"/>
      <c r="V1503" s="131"/>
      <c r="W1503" s="131"/>
      <c r="X1503" s="131"/>
      <c r="Y1503" s="131"/>
      <c r="Z1503" s="131"/>
      <c r="AA1503" s="131"/>
      <c r="AB1503" s="131"/>
      <c r="AC1503" s="131"/>
    </row>
    <row r="1504" spans="2:29" x14ac:dyDescent="0.2">
      <c r="B1504" s="151"/>
      <c r="C1504" s="152"/>
      <c r="H1504" s="340"/>
      <c r="L1504" s="131"/>
      <c r="M1504" s="131"/>
      <c r="N1504" s="131"/>
      <c r="O1504" s="131"/>
      <c r="P1504" s="131"/>
      <c r="Q1504" s="131"/>
      <c r="R1504" s="131"/>
      <c r="S1504" s="131"/>
      <c r="T1504" s="131"/>
      <c r="U1504" s="131"/>
      <c r="V1504" s="131"/>
      <c r="W1504" s="131"/>
      <c r="X1504" s="131"/>
      <c r="Y1504" s="131"/>
      <c r="Z1504" s="131"/>
      <c r="AA1504" s="131"/>
      <c r="AB1504" s="131"/>
      <c r="AC1504" s="131"/>
    </row>
    <row r="1505" spans="2:29" x14ac:dyDescent="0.2">
      <c r="B1505" s="151"/>
      <c r="C1505" s="152"/>
      <c r="H1505" s="340"/>
      <c r="L1505" s="131"/>
      <c r="M1505" s="131"/>
      <c r="N1505" s="131"/>
      <c r="O1505" s="131"/>
      <c r="P1505" s="131"/>
      <c r="Q1505" s="131"/>
      <c r="R1505" s="131"/>
      <c r="S1505" s="131"/>
      <c r="T1505" s="131"/>
      <c r="U1505" s="131"/>
      <c r="V1505" s="131"/>
      <c r="W1505" s="131"/>
      <c r="X1505" s="131"/>
      <c r="Y1505" s="131"/>
      <c r="Z1505" s="131"/>
      <c r="AA1505" s="131"/>
      <c r="AB1505" s="131"/>
      <c r="AC1505" s="131"/>
    </row>
    <row r="1506" spans="2:29" x14ac:dyDescent="0.2">
      <c r="B1506" s="151"/>
      <c r="C1506" s="152"/>
      <c r="H1506" s="340"/>
      <c r="L1506" s="131"/>
      <c r="M1506" s="131"/>
      <c r="N1506" s="131"/>
      <c r="O1506" s="131"/>
      <c r="P1506" s="131"/>
      <c r="Q1506" s="131"/>
      <c r="R1506" s="131"/>
      <c r="S1506" s="131"/>
      <c r="T1506" s="131"/>
      <c r="U1506" s="131"/>
      <c r="V1506" s="131"/>
      <c r="W1506" s="131"/>
      <c r="X1506" s="131"/>
      <c r="Y1506" s="131"/>
      <c r="Z1506" s="131"/>
      <c r="AA1506" s="131"/>
      <c r="AB1506" s="131"/>
      <c r="AC1506" s="131"/>
    </row>
    <row r="1507" spans="2:29" x14ac:dyDescent="0.2">
      <c r="B1507" s="151"/>
      <c r="C1507" s="152"/>
      <c r="H1507" s="340"/>
      <c r="L1507" s="131"/>
      <c r="M1507" s="131"/>
      <c r="N1507" s="131"/>
      <c r="O1507" s="131"/>
      <c r="P1507" s="131"/>
      <c r="Q1507" s="131"/>
      <c r="R1507" s="131"/>
      <c r="S1507" s="131"/>
      <c r="T1507" s="131"/>
      <c r="U1507" s="131"/>
      <c r="V1507" s="131"/>
      <c r="W1507" s="131"/>
      <c r="X1507" s="131"/>
      <c r="Y1507" s="131"/>
      <c r="Z1507" s="131"/>
      <c r="AA1507" s="131"/>
      <c r="AB1507" s="131"/>
      <c r="AC1507" s="131"/>
    </row>
    <row r="1508" spans="2:29" x14ac:dyDescent="0.2">
      <c r="B1508" s="151"/>
      <c r="C1508" s="152"/>
      <c r="H1508" s="340"/>
      <c r="L1508" s="131"/>
      <c r="M1508" s="131"/>
      <c r="N1508" s="131"/>
      <c r="O1508" s="131"/>
      <c r="P1508" s="131"/>
      <c r="Q1508" s="131"/>
      <c r="R1508" s="131"/>
      <c r="S1508" s="131"/>
      <c r="T1508" s="131"/>
      <c r="U1508" s="131"/>
      <c r="V1508" s="131"/>
      <c r="W1508" s="131"/>
      <c r="X1508" s="131"/>
      <c r="Y1508" s="131"/>
      <c r="Z1508" s="131"/>
      <c r="AA1508" s="131"/>
      <c r="AB1508" s="131"/>
      <c r="AC1508" s="131"/>
    </row>
    <row r="1509" spans="2:29" x14ac:dyDescent="0.2">
      <c r="B1509" s="151"/>
      <c r="C1509" s="152"/>
      <c r="H1509" s="340"/>
      <c r="L1509" s="131"/>
      <c r="M1509" s="131"/>
      <c r="N1509" s="131"/>
      <c r="O1509" s="131"/>
      <c r="P1509" s="131"/>
      <c r="Q1509" s="131"/>
      <c r="R1509" s="131"/>
      <c r="S1509" s="131"/>
      <c r="T1509" s="131"/>
      <c r="U1509" s="131"/>
      <c r="V1509" s="131"/>
      <c r="W1509" s="131"/>
      <c r="X1509" s="131"/>
      <c r="Y1509" s="131"/>
      <c r="Z1509" s="131"/>
      <c r="AA1509" s="131"/>
      <c r="AB1509" s="131"/>
      <c r="AC1509" s="131"/>
    </row>
    <row r="1510" spans="2:29" x14ac:dyDescent="0.2">
      <c r="B1510" s="151"/>
      <c r="C1510" s="152"/>
      <c r="H1510" s="340"/>
      <c r="L1510" s="131"/>
      <c r="M1510" s="131"/>
      <c r="N1510" s="131"/>
      <c r="O1510" s="131"/>
      <c r="P1510" s="131"/>
      <c r="Q1510" s="131"/>
      <c r="R1510" s="131"/>
      <c r="S1510" s="131"/>
      <c r="T1510" s="131"/>
      <c r="U1510" s="131"/>
      <c r="V1510" s="131"/>
      <c r="W1510" s="131"/>
      <c r="X1510" s="131"/>
      <c r="Y1510" s="131"/>
      <c r="Z1510" s="131"/>
      <c r="AA1510" s="131"/>
      <c r="AB1510" s="131"/>
      <c r="AC1510" s="131"/>
    </row>
    <row r="1511" spans="2:29" x14ac:dyDescent="0.2">
      <c r="B1511" s="151"/>
      <c r="C1511" s="152"/>
      <c r="H1511" s="340"/>
      <c r="L1511" s="131"/>
      <c r="M1511" s="131"/>
      <c r="N1511" s="131"/>
      <c r="O1511" s="131"/>
      <c r="P1511" s="131"/>
      <c r="Q1511" s="131"/>
      <c r="R1511" s="131"/>
      <c r="S1511" s="131"/>
      <c r="T1511" s="131"/>
      <c r="U1511" s="131"/>
      <c r="V1511" s="131"/>
      <c r="W1511" s="131"/>
      <c r="X1511" s="131"/>
      <c r="Y1511" s="131"/>
      <c r="Z1511" s="131"/>
      <c r="AA1511" s="131"/>
      <c r="AB1511" s="131"/>
      <c r="AC1511" s="131"/>
    </row>
    <row r="1512" spans="2:29" x14ac:dyDescent="0.2">
      <c r="B1512" s="151"/>
      <c r="C1512" s="152"/>
      <c r="H1512" s="340"/>
      <c r="L1512" s="131"/>
      <c r="M1512" s="131"/>
      <c r="N1512" s="131"/>
      <c r="O1512" s="131"/>
      <c r="P1512" s="131"/>
      <c r="Q1512" s="131"/>
      <c r="R1512" s="131"/>
      <c r="S1512" s="131"/>
      <c r="T1512" s="131"/>
      <c r="U1512" s="131"/>
      <c r="V1512" s="131"/>
      <c r="W1512" s="131"/>
      <c r="X1512" s="131"/>
      <c r="Y1512" s="131"/>
      <c r="Z1512" s="131"/>
      <c r="AA1512" s="131"/>
      <c r="AB1512" s="131"/>
      <c r="AC1512" s="131"/>
    </row>
    <row r="1513" spans="2:29" x14ac:dyDescent="0.2">
      <c r="B1513" s="151"/>
      <c r="C1513" s="152"/>
      <c r="H1513" s="340"/>
      <c r="L1513" s="131"/>
      <c r="M1513" s="131"/>
      <c r="N1513" s="131"/>
      <c r="O1513" s="131"/>
      <c r="P1513" s="131"/>
      <c r="Q1513" s="131"/>
      <c r="R1513" s="131"/>
      <c r="S1513" s="131"/>
      <c r="T1513" s="131"/>
      <c r="U1513" s="131"/>
      <c r="V1513" s="131"/>
      <c r="W1513" s="131"/>
      <c r="X1513" s="131"/>
      <c r="Y1513" s="131"/>
      <c r="Z1513" s="131"/>
      <c r="AA1513" s="131"/>
      <c r="AB1513" s="131"/>
      <c r="AC1513" s="131"/>
    </row>
    <row r="1514" spans="2:29" x14ac:dyDescent="0.2">
      <c r="B1514" s="151"/>
      <c r="C1514" s="152"/>
      <c r="H1514" s="340"/>
      <c r="L1514" s="131"/>
      <c r="M1514" s="131"/>
      <c r="N1514" s="131"/>
      <c r="O1514" s="131"/>
      <c r="P1514" s="131"/>
      <c r="Q1514" s="131"/>
      <c r="R1514" s="131"/>
      <c r="S1514" s="131"/>
      <c r="T1514" s="131"/>
      <c r="U1514" s="131"/>
      <c r="V1514" s="131"/>
      <c r="W1514" s="131"/>
      <c r="X1514" s="131"/>
      <c r="Y1514" s="131"/>
      <c r="Z1514" s="131"/>
      <c r="AA1514" s="131"/>
      <c r="AB1514" s="131"/>
      <c r="AC1514" s="131"/>
    </row>
    <row r="1515" spans="2:29" x14ac:dyDescent="0.2">
      <c r="B1515" s="151"/>
      <c r="C1515" s="152"/>
      <c r="H1515" s="340"/>
      <c r="L1515" s="131"/>
      <c r="M1515" s="131"/>
      <c r="N1515" s="131"/>
      <c r="O1515" s="131"/>
      <c r="P1515" s="131"/>
      <c r="Q1515" s="131"/>
      <c r="R1515" s="131"/>
      <c r="S1515" s="131"/>
      <c r="T1515" s="131"/>
      <c r="U1515" s="131"/>
      <c r="V1515" s="131"/>
      <c r="W1515" s="131"/>
      <c r="X1515" s="131"/>
      <c r="Y1515" s="131"/>
      <c r="Z1515" s="131"/>
      <c r="AA1515" s="131"/>
      <c r="AB1515" s="131"/>
      <c r="AC1515" s="131"/>
    </row>
    <row r="1516" spans="2:29" x14ac:dyDescent="0.2">
      <c r="B1516" s="151"/>
      <c r="C1516" s="152"/>
      <c r="H1516" s="340"/>
      <c r="L1516" s="131"/>
      <c r="M1516" s="131"/>
      <c r="N1516" s="131"/>
      <c r="O1516" s="131"/>
      <c r="P1516" s="131"/>
      <c r="Q1516" s="131"/>
      <c r="R1516" s="131"/>
      <c r="S1516" s="131"/>
      <c r="T1516" s="131"/>
      <c r="U1516" s="131"/>
      <c r="V1516" s="131"/>
      <c r="W1516" s="131"/>
      <c r="X1516" s="131"/>
      <c r="Y1516" s="131"/>
      <c r="Z1516" s="131"/>
      <c r="AA1516" s="131"/>
      <c r="AB1516" s="131"/>
      <c r="AC1516" s="131"/>
    </row>
    <row r="1517" spans="2:29" x14ac:dyDescent="0.2">
      <c r="B1517" s="151"/>
      <c r="C1517" s="152"/>
      <c r="H1517" s="340"/>
      <c r="L1517" s="131"/>
      <c r="M1517" s="131"/>
      <c r="N1517" s="131"/>
      <c r="O1517" s="131"/>
      <c r="P1517" s="131"/>
      <c r="Q1517" s="131"/>
      <c r="R1517" s="131"/>
      <c r="S1517" s="131"/>
      <c r="T1517" s="131"/>
      <c r="U1517" s="131"/>
      <c r="V1517" s="131"/>
      <c r="W1517" s="131"/>
      <c r="X1517" s="131"/>
      <c r="Y1517" s="131"/>
      <c r="Z1517" s="131"/>
      <c r="AA1517" s="131"/>
      <c r="AB1517" s="131"/>
      <c r="AC1517" s="131"/>
    </row>
    <row r="1518" spans="2:29" x14ac:dyDescent="0.2">
      <c r="B1518" s="151"/>
      <c r="C1518" s="152"/>
      <c r="H1518" s="340"/>
      <c r="L1518" s="131"/>
      <c r="M1518" s="131"/>
      <c r="N1518" s="131"/>
      <c r="O1518" s="131"/>
      <c r="P1518" s="131"/>
      <c r="Q1518" s="131"/>
      <c r="R1518" s="131"/>
      <c r="S1518" s="131"/>
      <c r="T1518" s="131"/>
      <c r="U1518" s="131"/>
      <c r="V1518" s="131"/>
      <c r="W1518" s="131"/>
      <c r="X1518" s="131"/>
      <c r="Y1518" s="131"/>
      <c r="Z1518" s="131"/>
      <c r="AA1518" s="131"/>
      <c r="AB1518" s="131"/>
      <c r="AC1518" s="131"/>
    </row>
    <row r="1519" spans="2:29" x14ac:dyDescent="0.2">
      <c r="B1519" s="151"/>
      <c r="C1519" s="152"/>
      <c r="H1519" s="340"/>
      <c r="L1519" s="131"/>
      <c r="M1519" s="131"/>
      <c r="N1519" s="131"/>
      <c r="O1519" s="131"/>
      <c r="P1519" s="131"/>
      <c r="Q1519" s="131"/>
      <c r="R1519" s="131"/>
      <c r="S1519" s="131"/>
      <c r="T1519" s="131"/>
      <c r="U1519" s="131"/>
      <c r="V1519" s="131"/>
      <c r="W1519" s="131"/>
      <c r="X1519" s="131"/>
      <c r="Y1519" s="131"/>
      <c r="Z1519" s="131"/>
      <c r="AA1519" s="131"/>
      <c r="AB1519" s="131"/>
      <c r="AC1519" s="131"/>
    </row>
    <row r="1520" spans="2:29" x14ac:dyDescent="0.2">
      <c r="B1520" s="151"/>
      <c r="C1520" s="152"/>
      <c r="H1520" s="340"/>
      <c r="L1520" s="131"/>
      <c r="M1520" s="131"/>
      <c r="N1520" s="131"/>
      <c r="O1520" s="131"/>
      <c r="P1520" s="131"/>
      <c r="Q1520" s="131"/>
      <c r="R1520" s="131"/>
      <c r="S1520" s="131"/>
      <c r="T1520" s="131"/>
      <c r="U1520" s="131"/>
      <c r="V1520" s="131"/>
      <c r="W1520" s="131"/>
      <c r="X1520" s="131"/>
      <c r="Y1520" s="131"/>
      <c r="Z1520" s="131"/>
      <c r="AA1520" s="131"/>
      <c r="AB1520" s="131"/>
      <c r="AC1520" s="131"/>
    </row>
    <row r="1521" spans="2:29" x14ac:dyDescent="0.2">
      <c r="B1521" s="151"/>
      <c r="C1521" s="152"/>
      <c r="H1521" s="340"/>
      <c r="L1521" s="131"/>
      <c r="M1521" s="131"/>
      <c r="N1521" s="131"/>
      <c r="O1521" s="131"/>
      <c r="P1521" s="131"/>
      <c r="Q1521" s="131"/>
      <c r="R1521" s="131"/>
      <c r="S1521" s="131"/>
      <c r="T1521" s="131"/>
      <c r="U1521" s="131"/>
      <c r="V1521" s="131"/>
      <c r="W1521" s="131"/>
      <c r="X1521" s="131"/>
      <c r="Y1521" s="131"/>
      <c r="Z1521" s="131"/>
      <c r="AA1521" s="131"/>
      <c r="AB1521" s="131"/>
      <c r="AC1521" s="131"/>
    </row>
    <row r="1522" spans="2:29" x14ac:dyDescent="0.2">
      <c r="B1522" s="151"/>
      <c r="C1522" s="152"/>
      <c r="H1522" s="340"/>
      <c r="L1522" s="131"/>
      <c r="M1522" s="131"/>
      <c r="N1522" s="131"/>
      <c r="O1522" s="131"/>
      <c r="P1522" s="131"/>
      <c r="Q1522" s="131"/>
      <c r="R1522" s="131"/>
      <c r="S1522" s="131"/>
      <c r="T1522" s="131"/>
      <c r="U1522" s="131"/>
      <c r="V1522" s="131"/>
      <c r="W1522" s="131"/>
      <c r="X1522" s="131"/>
      <c r="Y1522" s="131"/>
      <c r="Z1522" s="131"/>
      <c r="AA1522" s="131"/>
      <c r="AB1522" s="131"/>
      <c r="AC1522" s="131"/>
    </row>
    <row r="1523" spans="2:29" x14ac:dyDescent="0.2">
      <c r="B1523" s="151"/>
      <c r="C1523" s="152"/>
      <c r="H1523" s="340"/>
      <c r="L1523" s="131"/>
      <c r="M1523" s="131"/>
      <c r="N1523" s="131"/>
      <c r="O1523" s="131"/>
      <c r="P1523" s="131"/>
      <c r="Q1523" s="131"/>
      <c r="R1523" s="131"/>
      <c r="S1523" s="131"/>
      <c r="T1523" s="131"/>
      <c r="U1523" s="131"/>
      <c r="V1523" s="131"/>
      <c r="W1523" s="131"/>
      <c r="X1523" s="131"/>
      <c r="Y1523" s="131"/>
      <c r="Z1523" s="131"/>
      <c r="AA1523" s="131"/>
      <c r="AB1523" s="131"/>
      <c r="AC1523" s="131"/>
    </row>
    <row r="1524" spans="2:29" x14ac:dyDescent="0.2">
      <c r="B1524" s="151"/>
      <c r="C1524" s="152"/>
      <c r="H1524" s="340"/>
      <c r="L1524" s="131"/>
      <c r="M1524" s="131"/>
      <c r="N1524" s="131"/>
      <c r="O1524" s="131"/>
      <c r="P1524" s="131"/>
      <c r="Q1524" s="131"/>
      <c r="R1524" s="131"/>
      <c r="S1524" s="131"/>
      <c r="T1524" s="131"/>
      <c r="U1524" s="131"/>
      <c r="V1524" s="131"/>
      <c r="W1524" s="131"/>
      <c r="X1524" s="131"/>
      <c r="Y1524" s="131"/>
      <c r="Z1524" s="131"/>
      <c r="AA1524" s="131"/>
      <c r="AB1524" s="131"/>
      <c r="AC1524" s="131"/>
    </row>
    <row r="1525" spans="2:29" x14ac:dyDescent="0.2">
      <c r="B1525" s="151"/>
      <c r="C1525" s="152"/>
      <c r="H1525" s="340"/>
      <c r="L1525" s="131"/>
      <c r="M1525" s="131"/>
      <c r="N1525" s="131"/>
      <c r="O1525" s="131"/>
      <c r="P1525" s="131"/>
      <c r="Q1525" s="131"/>
      <c r="R1525" s="131"/>
      <c r="S1525" s="131"/>
      <c r="T1525" s="131"/>
      <c r="U1525" s="131"/>
      <c r="V1525" s="131"/>
      <c r="W1525" s="131"/>
      <c r="X1525" s="131"/>
      <c r="Y1525" s="131"/>
      <c r="Z1525" s="131"/>
      <c r="AA1525" s="131"/>
      <c r="AB1525" s="131"/>
      <c r="AC1525" s="131"/>
    </row>
    <row r="1526" spans="2:29" x14ac:dyDescent="0.2">
      <c r="B1526" s="151"/>
      <c r="C1526" s="152"/>
      <c r="H1526" s="340"/>
      <c r="L1526" s="131"/>
      <c r="M1526" s="131"/>
      <c r="N1526" s="131"/>
      <c r="O1526" s="131"/>
      <c r="P1526" s="131"/>
      <c r="Q1526" s="131"/>
      <c r="R1526" s="131"/>
      <c r="S1526" s="131"/>
      <c r="T1526" s="131"/>
      <c r="U1526" s="131"/>
      <c r="V1526" s="131"/>
      <c r="W1526" s="131"/>
      <c r="X1526" s="131"/>
      <c r="Y1526" s="131"/>
      <c r="Z1526" s="131"/>
      <c r="AA1526" s="131"/>
      <c r="AB1526" s="131"/>
      <c r="AC1526" s="131"/>
    </row>
    <row r="1527" spans="2:29" x14ac:dyDescent="0.2">
      <c r="B1527" s="151"/>
      <c r="C1527" s="152"/>
      <c r="H1527" s="340"/>
      <c r="L1527" s="131"/>
      <c r="M1527" s="131"/>
      <c r="N1527" s="131"/>
      <c r="O1527" s="131"/>
      <c r="P1527" s="131"/>
      <c r="Q1527" s="131"/>
      <c r="R1527" s="131"/>
      <c r="S1527" s="131"/>
      <c r="T1527" s="131"/>
      <c r="U1527" s="131"/>
      <c r="V1527" s="131"/>
      <c r="W1527" s="131"/>
      <c r="X1527" s="131"/>
      <c r="Y1527" s="131"/>
      <c r="Z1527" s="131"/>
      <c r="AA1527" s="131"/>
      <c r="AB1527" s="131"/>
      <c r="AC1527" s="131"/>
    </row>
    <row r="1528" spans="2:29" x14ac:dyDescent="0.2">
      <c r="B1528" s="151"/>
      <c r="C1528" s="152"/>
      <c r="H1528" s="340"/>
      <c r="L1528" s="131"/>
      <c r="M1528" s="131"/>
      <c r="N1528" s="131"/>
      <c r="O1528" s="131"/>
      <c r="P1528" s="131"/>
      <c r="Q1528" s="131"/>
      <c r="R1528" s="131"/>
      <c r="S1528" s="131"/>
      <c r="T1528" s="131"/>
      <c r="U1528" s="131"/>
      <c r="V1528" s="131"/>
      <c r="W1528" s="131"/>
      <c r="X1528" s="131"/>
      <c r="Y1528" s="131"/>
      <c r="Z1528" s="131"/>
      <c r="AA1528" s="131"/>
      <c r="AB1528" s="131"/>
      <c r="AC1528" s="131"/>
    </row>
    <row r="1529" spans="2:29" x14ac:dyDescent="0.2">
      <c r="B1529" s="151"/>
      <c r="C1529" s="152"/>
      <c r="H1529" s="340"/>
      <c r="L1529" s="131"/>
      <c r="M1529" s="131"/>
      <c r="N1529" s="131"/>
      <c r="O1529" s="131"/>
      <c r="P1529" s="131"/>
      <c r="Q1529" s="131"/>
      <c r="R1529" s="131"/>
      <c r="S1529" s="131"/>
      <c r="T1529" s="131"/>
      <c r="U1529" s="131"/>
      <c r="V1529" s="131"/>
      <c r="W1529" s="131"/>
      <c r="X1529" s="131"/>
      <c r="Y1529" s="131"/>
      <c r="Z1529" s="131"/>
      <c r="AA1529" s="131"/>
      <c r="AB1529" s="131"/>
      <c r="AC1529" s="131"/>
    </row>
    <row r="1530" spans="2:29" x14ac:dyDescent="0.2">
      <c r="B1530" s="151"/>
      <c r="C1530" s="152"/>
      <c r="H1530" s="340"/>
      <c r="L1530" s="131"/>
      <c r="M1530" s="131"/>
      <c r="N1530" s="131"/>
      <c r="O1530" s="131"/>
      <c r="P1530" s="131"/>
      <c r="Q1530" s="131"/>
      <c r="R1530" s="131"/>
      <c r="S1530" s="131"/>
      <c r="T1530" s="131"/>
      <c r="U1530" s="131"/>
      <c r="V1530" s="131"/>
      <c r="W1530" s="131"/>
      <c r="X1530" s="131"/>
      <c r="Y1530" s="131"/>
      <c r="Z1530" s="131"/>
      <c r="AA1530" s="131"/>
      <c r="AB1530" s="131"/>
      <c r="AC1530" s="131"/>
    </row>
    <row r="1531" spans="2:29" x14ac:dyDescent="0.2">
      <c r="B1531" s="151"/>
      <c r="C1531" s="152"/>
      <c r="H1531" s="340"/>
      <c r="L1531" s="131"/>
      <c r="M1531" s="131"/>
      <c r="N1531" s="131"/>
      <c r="O1531" s="131"/>
      <c r="P1531" s="131"/>
      <c r="Q1531" s="131"/>
      <c r="R1531" s="131"/>
      <c r="S1531" s="131"/>
      <c r="T1531" s="131"/>
      <c r="U1531" s="131"/>
      <c r="V1531" s="131"/>
      <c r="W1531" s="131"/>
      <c r="X1531" s="131"/>
      <c r="Y1531" s="131"/>
      <c r="Z1531" s="131"/>
      <c r="AA1531" s="131"/>
      <c r="AB1531" s="131"/>
      <c r="AC1531" s="131"/>
    </row>
    <row r="1532" spans="2:29" x14ac:dyDescent="0.2">
      <c r="B1532" s="151"/>
      <c r="C1532" s="152"/>
      <c r="H1532" s="340"/>
      <c r="L1532" s="131"/>
      <c r="M1532" s="131"/>
      <c r="N1532" s="131"/>
      <c r="O1532" s="131"/>
      <c r="P1532" s="131"/>
      <c r="Q1532" s="131"/>
      <c r="R1532" s="131"/>
      <c r="S1532" s="131"/>
      <c r="T1532" s="131"/>
      <c r="U1532" s="131"/>
      <c r="V1532" s="131"/>
      <c r="W1532" s="131"/>
      <c r="X1532" s="131"/>
      <c r="Y1532" s="131"/>
      <c r="Z1532" s="131"/>
      <c r="AA1532" s="131"/>
      <c r="AB1532" s="131"/>
      <c r="AC1532" s="131"/>
    </row>
    <row r="1533" spans="2:29" x14ac:dyDescent="0.2">
      <c r="B1533" s="151"/>
      <c r="C1533" s="152"/>
      <c r="H1533" s="340"/>
      <c r="L1533" s="131"/>
      <c r="M1533" s="131"/>
      <c r="N1533" s="131"/>
      <c r="O1533" s="131"/>
      <c r="P1533" s="131"/>
      <c r="Q1533" s="131"/>
      <c r="R1533" s="131"/>
      <c r="S1533" s="131"/>
      <c r="T1533" s="131"/>
      <c r="U1533" s="131"/>
      <c r="V1533" s="131"/>
      <c r="W1533" s="131"/>
      <c r="X1533" s="131"/>
      <c r="Y1533" s="131"/>
      <c r="Z1533" s="131"/>
      <c r="AA1533" s="131"/>
      <c r="AB1533" s="131"/>
      <c r="AC1533" s="131"/>
    </row>
    <row r="1534" spans="2:29" x14ac:dyDescent="0.2">
      <c r="B1534" s="151"/>
      <c r="C1534" s="152"/>
      <c r="H1534" s="340"/>
      <c r="L1534" s="131"/>
      <c r="M1534" s="131"/>
      <c r="N1534" s="131"/>
      <c r="O1534" s="131"/>
      <c r="P1534" s="131"/>
      <c r="Q1534" s="131"/>
      <c r="R1534" s="131"/>
      <c r="S1534" s="131"/>
      <c r="T1534" s="131"/>
      <c r="U1534" s="131"/>
      <c r="V1534" s="131"/>
      <c r="W1534" s="131"/>
      <c r="X1534" s="131"/>
      <c r="Y1534" s="131"/>
      <c r="Z1534" s="131"/>
      <c r="AA1534" s="131"/>
      <c r="AB1534" s="131"/>
      <c r="AC1534" s="131"/>
    </row>
    <row r="1535" spans="2:29" x14ac:dyDescent="0.2">
      <c r="B1535" s="151"/>
      <c r="C1535" s="152"/>
      <c r="H1535" s="340"/>
      <c r="L1535" s="131"/>
      <c r="M1535" s="131"/>
      <c r="N1535" s="131"/>
      <c r="O1535" s="131"/>
      <c r="P1535" s="131"/>
      <c r="Q1535" s="131"/>
      <c r="R1535" s="131"/>
      <c r="S1535" s="131"/>
      <c r="T1535" s="131"/>
      <c r="U1535" s="131"/>
      <c r="V1535" s="131"/>
      <c r="W1535" s="131"/>
      <c r="X1535" s="131"/>
      <c r="Y1535" s="131"/>
      <c r="Z1535" s="131"/>
      <c r="AA1535" s="131"/>
      <c r="AB1535" s="131"/>
      <c r="AC1535" s="131"/>
    </row>
    <row r="1536" spans="2:29" x14ac:dyDescent="0.2">
      <c r="B1536" s="151"/>
      <c r="C1536" s="152"/>
      <c r="H1536" s="340"/>
      <c r="L1536" s="131"/>
      <c r="M1536" s="131"/>
      <c r="N1536" s="131"/>
      <c r="O1536" s="131"/>
      <c r="P1536" s="131"/>
      <c r="Q1536" s="131"/>
      <c r="R1536" s="131"/>
      <c r="S1536" s="131"/>
      <c r="T1536" s="131"/>
      <c r="U1536" s="131"/>
      <c r="V1536" s="131"/>
      <c r="W1536" s="131"/>
      <c r="X1536" s="131"/>
      <c r="Y1536" s="131"/>
      <c r="Z1536" s="131"/>
      <c r="AA1536" s="131"/>
      <c r="AB1536" s="131"/>
      <c r="AC1536" s="131"/>
    </row>
    <row r="1537" spans="2:29" x14ac:dyDescent="0.2">
      <c r="B1537" s="151"/>
      <c r="C1537" s="152"/>
      <c r="H1537" s="340"/>
      <c r="L1537" s="131"/>
      <c r="M1537" s="131"/>
      <c r="N1537" s="131"/>
      <c r="O1537" s="131"/>
      <c r="P1537" s="131"/>
      <c r="Q1537" s="131"/>
      <c r="R1537" s="131"/>
      <c r="S1537" s="131"/>
      <c r="T1537" s="131"/>
      <c r="U1537" s="131"/>
      <c r="V1537" s="131"/>
      <c r="W1537" s="131"/>
      <c r="X1537" s="131"/>
      <c r="Y1537" s="131"/>
      <c r="Z1537" s="131"/>
      <c r="AA1537" s="131"/>
      <c r="AB1537" s="131"/>
      <c r="AC1537" s="131"/>
    </row>
    <row r="1538" spans="2:29" x14ac:dyDescent="0.2">
      <c r="B1538" s="151"/>
      <c r="C1538" s="152"/>
      <c r="H1538" s="340"/>
      <c r="L1538" s="131"/>
      <c r="M1538" s="131"/>
      <c r="N1538" s="131"/>
      <c r="O1538" s="131"/>
      <c r="P1538" s="131"/>
      <c r="Q1538" s="131"/>
      <c r="R1538" s="131"/>
      <c r="S1538" s="131"/>
      <c r="T1538" s="131"/>
      <c r="U1538" s="131"/>
      <c r="V1538" s="131"/>
      <c r="W1538" s="131"/>
      <c r="X1538" s="131"/>
      <c r="Y1538" s="131"/>
      <c r="Z1538" s="131"/>
      <c r="AA1538" s="131"/>
      <c r="AB1538" s="131"/>
      <c r="AC1538" s="131"/>
    </row>
    <row r="1539" spans="2:29" x14ac:dyDescent="0.2">
      <c r="B1539" s="151"/>
      <c r="C1539" s="152"/>
      <c r="H1539" s="340"/>
      <c r="L1539" s="131"/>
      <c r="M1539" s="131"/>
      <c r="N1539" s="131"/>
      <c r="O1539" s="131"/>
      <c r="P1539" s="131"/>
      <c r="Q1539" s="131"/>
      <c r="R1539" s="131"/>
      <c r="S1539" s="131"/>
      <c r="T1539" s="131"/>
      <c r="U1539" s="131"/>
      <c r="V1539" s="131"/>
      <c r="W1539" s="131"/>
      <c r="X1539" s="131"/>
      <c r="Y1539" s="131"/>
      <c r="Z1539" s="131"/>
      <c r="AA1539" s="131"/>
      <c r="AB1539" s="131"/>
      <c r="AC1539" s="131"/>
    </row>
    <row r="1540" spans="2:29" x14ac:dyDescent="0.2">
      <c r="B1540" s="151"/>
      <c r="C1540" s="152"/>
      <c r="H1540" s="340"/>
      <c r="L1540" s="131"/>
      <c r="M1540" s="131"/>
      <c r="N1540" s="131"/>
      <c r="O1540" s="131"/>
      <c r="P1540" s="131"/>
      <c r="Q1540" s="131"/>
      <c r="R1540" s="131"/>
      <c r="S1540" s="131"/>
      <c r="T1540" s="131"/>
      <c r="U1540" s="131"/>
      <c r="V1540" s="131"/>
      <c r="W1540" s="131"/>
      <c r="X1540" s="131"/>
      <c r="Y1540" s="131"/>
      <c r="Z1540" s="131"/>
      <c r="AA1540" s="131"/>
      <c r="AB1540" s="131"/>
      <c r="AC1540" s="131"/>
    </row>
    <row r="1541" spans="2:29" x14ac:dyDescent="0.2">
      <c r="B1541" s="151"/>
      <c r="C1541" s="152"/>
      <c r="H1541" s="340"/>
      <c r="L1541" s="131"/>
      <c r="M1541" s="131"/>
      <c r="N1541" s="131"/>
      <c r="O1541" s="131"/>
      <c r="P1541" s="131"/>
      <c r="Q1541" s="131"/>
      <c r="R1541" s="131"/>
      <c r="S1541" s="131"/>
      <c r="T1541" s="131"/>
      <c r="U1541" s="131"/>
      <c r="V1541" s="131"/>
      <c r="W1541" s="131"/>
      <c r="X1541" s="131"/>
      <c r="Y1541" s="131"/>
      <c r="Z1541" s="131"/>
      <c r="AA1541" s="131"/>
      <c r="AB1541" s="131"/>
      <c r="AC1541" s="131"/>
    </row>
    <row r="1542" spans="2:29" x14ac:dyDescent="0.2">
      <c r="B1542" s="151"/>
      <c r="C1542" s="152"/>
      <c r="H1542" s="340"/>
      <c r="L1542" s="131"/>
      <c r="M1542" s="131"/>
      <c r="N1542" s="131"/>
      <c r="O1542" s="131"/>
      <c r="P1542" s="131"/>
      <c r="Q1542" s="131"/>
      <c r="R1542" s="131"/>
      <c r="S1542" s="131"/>
      <c r="T1542" s="131"/>
      <c r="U1542" s="131"/>
      <c r="V1542" s="131"/>
      <c r="W1542" s="131"/>
      <c r="X1542" s="131"/>
      <c r="Y1542" s="131"/>
      <c r="Z1542" s="131"/>
      <c r="AA1542" s="131"/>
      <c r="AB1542" s="131"/>
      <c r="AC1542" s="131"/>
    </row>
    <row r="1543" spans="2:29" x14ac:dyDescent="0.2">
      <c r="B1543" s="151"/>
      <c r="C1543" s="152"/>
      <c r="H1543" s="340"/>
      <c r="L1543" s="131"/>
      <c r="M1543" s="131"/>
      <c r="N1543" s="131"/>
      <c r="O1543" s="131"/>
      <c r="P1543" s="131"/>
      <c r="Q1543" s="131"/>
      <c r="R1543" s="131"/>
      <c r="S1543" s="131"/>
      <c r="T1543" s="131"/>
      <c r="U1543" s="131"/>
      <c r="V1543" s="131"/>
      <c r="W1543" s="131"/>
      <c r="X1543" s="131"/>
      <c r="Y1543" s="131"/>
      <c r="Z1543" s="131"/>
      <c r="AA1543" s="131"/>
      <c r="AB1543" s="131"/>
      <c r="AC1543" s="131"/>
    </row>
    <row r="1544" spans="2:29" x14ac:dyDescent="0.2">
      <c r="B1544" s="151"/>
      <c r="C1544" s="152"/>
      <c r="H1544" s="340"/>
      <c r="L1544" s="131"/>
      <c r="M1544" s="131"/>
      <c r="N1544" s="131"/>
      <c r="O1544" s="131"/>
      <c r="P1544" s="131"/>
      <c r="Q1544" s="131"/>
      <c r="R1544" s="131"/>
      <c r="S1544" s="131"/>
      <c r="T1544" s="131"/>
      <c r="U1544" s="131"/>
      <c r="V1544" s="131"/>
      <c r="W1544" s="131"/>
      <c r="X1544" s="131"/>
      <c r="Y1544" s="131"/>
      <c r="Z1544" s="131"/>
      <c r="AA1544" s="131"/>
      <c r="AB1544" s="131"/>
      <c r="AC1544" s="131"/>
    </row>
    <row r="1545" spans="2:29" x14ac:dyDescent="0.2">
      <c r="B1545" s="151"/>
      <c r="C1545" s="152"/>
      <c r="H1545" s="340"/>
      <c r="L1545" s="131"/>
      <c r="M1545" s="131"/>
      <c r="N1545" s="131"/>
      <c r="O1545" s="131"/>
      <c r="P1545" s="131"/>
      <c r="Q1545" s="131"/>
      <c r="R1545" s="131"/>
      <c r="S1545" s="131"/>
      <c r="T1545" s="131"/>
      <c r="U1545" s="131"/>
      <c r="V1545" s="131"/>
      <c r="W1545" s="131"/>
      <c r="X1545" s="131"/>
      <c r="Y1545" s="131"/>
      <c r="Z1545" s="131"/>
      <c r="AA1545" s="131"/>
      <c r="AB1545" s="131"/>
      <c r="AC1545" s="131"/>
    </row>
    <row r="1546" spans="2:29" x14ac:dyDescent="0.2">
      <c r="B1546" s="151"/>
      <c r="C1546" s="152"/>
      <c r="H1546" s="340"/>
      <c r="L1546" s="131"/>
      <c r="M1546" s="131"/>
      <c r="N1546" s="131"/>
      <c r="O1546" s="131"/>
      <c r="P1546" s="131"/>
      <c r="Q1546" s="131"/>
      <c r="R1546" s="131"/>
      <c r="S1546" s="131"/>
      <c r="T1546" s="131"/>
      <c r="U1546" s="131"/>
      <c r="V1546" s="131"/>
      <c r="W1546" s="131"/>
      <c r="X1546" s="131"/>
      <c r="Y1546" s="131"/>
      <c r="Z1546" s="131"/>
      <c r="AA1546" s="131"/>
      <c r="AB1546" s="131"/>
      <c r="AC1546" s="131"/>
    </row>
    <row r="1547" spans="2:29" x14ac:dyDescent="0.2">
      <c r="B1547" s="151"/>
      <c r="C1547" s="152"/>
      <c r="H1547" s="340"/>
      <c r="L1547" s="131"/>
      <c r="M1547" s="131"/>
      <c r="N1547" s="131"/>
      <c r="O1547" s="131"/>
      <c r="P1547" s="131"/>
      <c r="Q1547" s="131"/>
      <c r="R1547" s="131"/>
      <c r="S1547" s="131"/>
      <c r="T1547" s="131"/>
      <c r="U1547" s="131"/>
      <c r="V1547" s="131"/>
      <c r="W1547" s="131"/>
      <c r="X1547" s="131"/>
      <c r="Y1547" s="131"/>
      <c r="Z1547" s="131"/>
      <c r="AA1547" s="131"/>
      <c r="AB1547" s="131"/>
      <c r="AC1547" s="131"/>
    </row>
    <row r="1548" spans="2:29" x14ac:dyDescent="0.2">
      <c r="B1548" s="151"/>
      <c r="C1548" s="152"/>
      <c r="H1548" s="340"/>
      <c r="L1548" s="131"/>
      <c r="M1548" s="131"/>
      <c r="N1548" s="131"/>
      <c r="O1548" s="131"/>
      <c r="P1548" s="131"/>
      <c r="Q1548" s="131"/>
      <c r="R1548" s="131"/>
      <c r="S1548" s="131"/>
      <c r="T1548" s="131"/>
      <c r="U1548" s="131"/>
      <c r="V1548" s="131"/>
      <c r="W1548" s="131"/>
      <c r="X1548" s="131"/>
      <c r="Y1548" s="131"/>
      <c r="Z1548" s="131"/>
      <c r="AA1548" s="131"/>
      <c r="AB1548" s="131"/>
      <c r="AC1548" s="131"/>
    </row>
    <row r="1549" spans="2:29" x14ac:dyDescent="0.2">
      <c r="B1549" s="151"/>
      <c r="C1549" s="152"/>
      <c r="H1549" s="340"/>
      <c r="L1549" s="131"/>
      <c r="M1549" s="131"/>
      <c r="N1549" s="131"/>
      <c r="O1549" s="131"/>
      <c r="P1549" s="131"/>
      <c r="Q1549" s="131"/>
      <c r="R1549" s="131"/>
      <c r="S1549" s="131"/>
      <c r="T1549" s="131"/>
      <c r="U1549" s="131"/>
      <c r="V1549" s="131"/>
      <c r="W1549" s="131"/>
      <c r="X1549" s="131"/>
      <c r="Y1549" s="131"/>
      <c r="Z1549" s="131"/>
      <c r="AA1549" s="131"/>
      <c r="AB1549" s="131"/>
      <c r="AC1549" s="131"/>
    </row>
    <row r="1550" spans="2:29" x14ac:dyDescent="0.2">
      <c r="B1550" s="151"/>
      <c r="C1550" s="152"/>
      <c r="H1550" s="340"/>
      <c r="L1550" s="131"/>
      <c r="M1550" s="131"/>
      <c r="N1550" s="131"/>
      <c r="O1550" s="131"/>
      <c r="P1550" s="131"/>
      <c r="Q1550" s="131"/>
      <c r="R1550" s="131"/>
      <c r="S1550" s="131"/>
      <c r="T1550" s="131"/>
      <c r="U1550" s="131"/>
      <c r="V1550" s="131"/>
      <c r="W1550" s="131"/>
      <c r="X1550" s="131"/>
      <c r="Y1550" s="131"/>
      <c r="Z1550" s="131"/>
      <c r="AA1550" s="131"/>
      <c r="AB1550" s="131"/>
      <c r="AC1550" s="131"/>
    </row>
    <row r="1551" spans="2:29" x14ac:dyDescent="0.2">
      <c r="B1551" s="151"/>
      <c r="C1551" s="152"/>
      <c r="H1551" s="340"/>
      <c r="L1551" s="131"/>
      <c r="M1551" s="131"/>
      <c r="N1551" s="131"/>
      <c r="O1551" s="131"/>
      <c r="P1551" s="131"/>
      <c r="Q1551" s="131"/>
      <c r="R1551" s="131"/>
      <c r="S1551" s="131"/>
      <c r="T1551" s="131"/>
      <c r="U1551" s="131"/>
      <c r="V1551" s="131"/>
      <c r="W1551" s="131"/>
      <c r="X1551" s="131"/>
      <c r="Y1551" s="131"/>
      <c r="Z1551" s="131"/>
      <c r="AA1551" s="131"/>
      <c r="AB1551" s="131"/>
      <c r="AC1551" s="131"/>
    </row>
    <row r="1552" spans="2:29" x14ac:dyDescent="0.2">
      <c r="B1552" s="151"/>
      <c r="C1552" s="152"/>
      <c r="H1552" s="340"/>
      <c r="L1552" s="131"/>
      <c r="M1552" s="131"/>
      <c r="N1552" s="131"/>
      <c r="O1552" s="131"/>
      <c r="P1552" s="131"/>
      <c r="Q1552" s="131"/>
      <c r="R1552" s="131"/>
      <c r="S1552" s="131"/>
      <c r="T1552" s="131"/>
      <c r="U1552" s="131"/>
      <c r="V1552" s="131"/>
      <c r="W1552" s="131"/>
      <c r="X1552" s="131"/>
      <c r="Y1552" s="131"/>
      <c r="Z1552" s="131"/>
      <c r="AA1552" s="131"/>
      <c r="AB1552" s="131"/>
      <c r="AC1552" s="131"/>
    </row>
    <row r="1553" spans="2:29" x14ac:dyDescent="0.2">
      <c r="B1553" s="151"/>
      <c r="C1553" s="152"/>
      <c r="H1553" s="340"/>
      <c r="L1553" s="131"/>
      <c r="M1553" s="131"/>
      <c r="N1553" s="131"/>
      <c r="O1553" s="131"/>
      <c r="P1553" s="131"/>
      <c r="Q1553" s="131"/>
      <c r="R1553" s="131"/>
      <c r="S1553" s="131"/>
      <c r="T1553" s="131"/>
      <c r="U1553" s="131"/>
      <c r="V1553" s="131"/>
      <c r="W1553" s="131"/>
      <c r="X1553" s="131"/>
      <c r="Y1553" s="131"/>
      <c r="Z1553" s="131"/>
      <c r="AA1553" s="131"/>
      <c r="AB1553" s="131"/>
      <c r="AC1553" s="131"/>
    </row>
    <row r="1554" spans="2:29" x14ac:dyDescent="0.2">
      <c r="B1554" s="151"/>
      <c r="C1554" s="152"/>
      <c r="H1554" s="340"/>
      <c r="L1554" s="131"/>
      <c r="M1554" s="131"/>
      <c r="N1554" s="131"/>
      <c r="O1554" s="131"/>
      <c r="P1554" s="131"/>
      <c r="Q1554" s="131"/>
      <c r="R1554" s="131"/>
      <c r="S1554" s="131"/>
      <c r="T1554" s="131"/>
      <c r="U1554" s="131"/>
      <c r="V1554" s="131"/>
      <c r="W1554" s="131"/>
      <c r="X1554" s="131"/>
      <c r="Y1554" s="131"/>
      <c r="Z1554" s="131"/>
      <c r="AA1554" s="131"/>
      <c r="AB1554" s="131"/>
      <c r="AC1554" s="131"/>
    </row>
    <row r="1555" spans="2:29" x14ac:dyDescent="0.2">
      <c r="B1555" s="151"/>
      <c r="C1555" s="152"/>
      <c r="H1555" s="340"/>
      <c r="L1555" s="131"/>
      <c r="M1555" s="131"/>
      <c r="N1555" s="131"/>
      <c r="O1555" s="131"/>
      <c r="P1555" s="131"/>
      <c r="Q1555" s="131"/>
      <c r="R1555" s="131"/>
      <c r="S1555" s="131"/>
      <c r="T1555" s="131"/>
      <c r="U1555" s="131"/>
      <c r="V1555" s="131"/>
      <c r="W1555" s="131"/>
      <c r="X1555" s="131"/>
      <c r="Y1555" s="131"/>
      <c r="Z1555" s="131"/>
      <c r="AA1555" s="131"/>
      <c r="AB1555" s="131"/>
      <c r="AC1555" s="131"/>
    </row>
    <row r="1556" spans="2:29" x14ac:dyDescent="0.2">
      <c r="B1556" s="151"/>
      <c r="C1556" s="152"/>
      <c r="H1556" s="340"/>
      <c r="L1556" s="131"/>
      <c r="M1556" s="131"/>
      <c r="N1556" s="131"/>
      <c r="O1556" s="131"/>
      <c r="P1556" s="131"/>
      <c r="Q1556" s="131"/>
      <c r="R1556" s="131"/>
      <c r="S1556" s="131"/>
      <c r="T1556" s="131"/>
      <c r="U1556" s="131"/>
      <c r="V1556" s="131"/>
      <c r="W1556" s="131"/>
      <c r="X1556" s="131"/>
      <c r="Y1556" s="131"/>
      <c r="Z1556" s="131"/>
      <c r="AA1556" s="131"/>
      <c r="AB1556" s="131"/>
      <c r="AC1556" s="131"/>
    </row>
    <row r="1557" spans="2:29" x14ac:dyDescent="0.2">
      <c r="B1557" s="151"/>
      <c r="C1557" s="152"/>
      <c r="H1557" s="340"/>
      <c r="L1557" s="131"/>
      <c r="M1557" s="131"/>
      <c r="N1557" s="131"/>
      <c r="O1557" s="131"/>
      <c r="P1557" s="131"/>
      <c r="Q1557" s="131"/>
      <c r="R1557" s="131"/>
      <c r="S1557" s="131"/>
      <c r="T1557" s="131"/>
      <c r="U1557" s="131"/>
      <c r="V1557" s="131"/>
      <c r="W1557" s="131"/>
      <c r="X1557" s="131"/>
      <c r="Y1557" s="131"/>
      <c r="Z1557" s="131"/>
      <c r="AA1557" s="131"/>
      <c r="AB1557" s="131"/>
      <c r="AC1557" s="131"/>
    </row>
    <row r="1558" spans="2:29" x14ac:dyDescent="0.2">
      <c r="B1558" s="151"/>
      <c r="C1558" s="152"/>
      <c r="H1558" s="340"/>
      <c r="L1558" s="131"/>
      <c r="M1558" s="131"/>
      <c r="N1558" s="131"/>
      <c r="O1558" s="131"/>
      <c r="P1558" s="131"/>
      <c r="Q1558" s="131"/>
      <c r="R1558" s="131"/>
      <c r="S1558" s="131"/>
      <c r="T1558" s="131"/>
      <c r="U1558" s="131"/>
      <c r="V1558" s="131"/>
      <c r="W1558" s="131"/>
      <c r="X1558" s="131"/>
      <c r="Y1558" s="131"/>
      <c r="Z1558" s="131"/>
      <c r="AA1558" s="131"/>
      <c r="AB1558" s="131"/>
      <c r="AC1558" s="131"/>
    </row>
    <row r="1559" spans="2:29" x14ac:dyDescent="0.2">
      <c r="B1559" s="151"/>
      <c r="C1559" s="152"/>
      <c r="H1559" s="340"/>
      <c r="L1559" s="131"/>
      <c r="M1559" s="131"/>
      <c r="N1559" s="131"/>
      <c r="O1559" s="131"/>
      <c r="P1559" s="131"/>
      <c r="Q1559" s="131"/>
      <c r="R1559" s="131"/>
      <c r="S1559" s="131"/>
      <c r="T1559" s="131"/>
      <c r="U1559" s="131"/>
      <c r="V1559" s="131"/>
      <c r="W1559" s="131"/>
      <c r="X1559" s="131"/>
      <c r="Y1559" s="131"/>
      <c r="Z1559" s="131"/>
      <c r="AA1559" s="131"/>
      <c r="AB1559" s="131"/>
      <c r="AC1559" s="131"/>
    </row>
    <row r="1560" spans="2:29" x14ac:dyDescent="0.2">
      <c r="B1560" s="151"/>
      <c r="C1560" s="152"/>
      <c r="H1560" s="340"/>
      <c r="L1560" s="131"/>
      <c r="M1560" s="131"/>
      <c r="N1560" s="131"/>
      <c r="O1560" s="131"/>
      <c r="P1560" s="131"/>
      <c r="Q1560" s="131"/>
      <c r="R1560" s="131"/>
      <c r="S1560" s="131"/>
      <c r="T1560" s="131"/>
      <c r="U1560" s="131"/>
      <c r="V1560" s="131"/>
      <c r="W1560" s="131"/>
      <c r="X1560" s="131"/>
      <c r="Y1560" s="131"/>
      <c r="Z1560" s="131"/>
      <c r="AA1560" s="131"/>
      <c r="AB1560" s="131"/>
      <c r="AC1560" s="131"/>
    </row>
    <row r="1561" spans="2:29" x14ac:dyDescent="0.2">
      <c r="B1561" s="151"/>
      <c r="C1561" s="152"/>
      <c r="H1561" s="340"/>
      <c r="L1561" s="131"/>
      <c r="M1561" s="131"/>
      <c r="N1561" s="131"/>
      <c r="O1561" s="131"/>
      <c r="P1561" s="131"/>
      <c r="Q1561" s="131"/>
      <c r="R1561" s="131"/>
      <c r="S1561" s="131"/>
      <c r="T1561" s="131"/>
      <c r="U1561" s="131"/>
      <c r="V1561" s="131"/>
      <c r="W1561" s="131"/>
      <c r="X1561" s="131"/>
      <c r="Y1561" s="131"/>
      <c r="Z1561" s="131"/>
      <c r="AA1561" s="131"/>
      <c r="AB1561" s="131"/>
      <c r="AC1561" s="131"/>
    </row>
    <row r="1562" spans="2:29" x14ac:dyDescent="0.2">
      <c r="B1562" s="151"/>
      <c r="C1562" s="152"/>
      <c r="H1562" s="340"/>
      <c r="L1562" s="131"/>
      <c r="M1562" s="131"/>
      <c r="N1562" s="131"/>
      <c r="O1562" s="131"/>
      <c r="P1562" s="131"/>
      <c r="Q1562" s="131"/>
      <c r="R1562" s="131"/>
      <c r="S1562" s="131"/>
      <c r="T1562" s="131"/>
      <c r="U1562" s="131"/>
      <c r="V1562" s="131"/>
      <c r="W1562" s="131"/>
      <c r="X1562" s="131"/>
      <c r="Y1562" s="131"/>
      <c r="Z1562" s="131"/>
      <c r="AA1562" s="131"/>
      <c r="AB1562" s="131"/>
      <c r="AC1562" s="131"/>
    </row>
    <row r="1563" spans="2:29" x14ac:dyDescent="0.2">
      <c r="B1563" s="151"/>
      <c r="C1563" s="152"/>
      <c r="H1563" s="340"/>
      <c r="L1563" s="131"/>
      <c r="M1563" s="131"/>
      <c r="N1563" s="131"/>
      <c r="O1563" s="131"/>
      <c r="P1563" s="131"/>
      <c r="Q1563" s="131"/>
      <c r="R1563" s="131"/>
      <c r="S1563" s="131"/>
      <c r="T1563" s="131"/>
      <c r="U1563" s="131"/>
      <c r="V1563" s="131"/>
      <c r="W1563" s="131"/>
      <c r="X1563" s="131"/>
      <c r="Y1563" s="131"/>
      <c r="Z1563" s="131"/>
      <c r="AA1563" s="131"/>
      <c r="AB1563" s="131"/>
      <c r="AC1563" s="131"/>
    </row>
    <row r="1564" spans="2:29" x14ac:dyDescent="0.2">
      <c r="B1564" s="151"/>
      <c r="C1564" s="152"/>
      <c r="H1564" s="340"/>
      <c r="L1564" s="131"/>
      <c r="M1564" s="131"/>
      <c r="N1564" s="131"/>
      <c r="O1564" s="131"/>
      <c r="P1564" s="131"/>
      <c r="Q1564" s="131"/>
      <c r="R1564" s="131"/>
      <c r="S1564" s="131"/>
      <c r="T1564" s="131"/>
      <c r="U1564" s="131"/>
      <c r="V1564" s="131"/>
      <c r="W1564" s="131"/>
      <c r="X1564" s="131"/>
      <c r="Y1564" s="131"/>
      <c r="Z1564" s="131"/>
      <c r="AA1564" s="131"/>
      <c r="AB1564" s="131"/>
      <c r="AC1564" s="131"/>
    </row>
    <row r="1565" spans="2:29" x14ac:dyDescent="0.2">
      <c r="B1565" s="151"/>
      <c r="C1565" s="152"/>
      <c r="H1565" s="340"/>
      <c r="L1565" s="131"/>
      <c r="M1565" s="131"/>
      <c r="N1565" s="131"/>
      <c r="O1565" s="131"/>
      <c r="P1565" s="131"/>
      <c r="Q1565" s="131"/>
      <c r="R1565" s="131"/>
      <c r="S1565" s="131"/>
      <c r="T1565" s="131"/>
      <c r="U1565" s="131"/>
      <c r="V1565" s="131"/>
      <c r="W1565" s="131"/>
      <c r="X1565" s="131"/>
      <c r="Y1565" s="131"/>
      <c r="Z1565" s="131"/>
      <c r="AA1565" s="131"/>
      <c r="AB1565" s="131"/>
      <c r="AC1565" s="131"/>
    </row>
    <row r="1566" spans="2:29" x14ac:dyDescent="0.2">
      <c r="B1566" s="151"/>
      <c r="C1566" s="152"/>
      <c r="H1566" s="340"/>
      <c r="L1566" s="131"/>
      <c r="M1566" s="131"/>
      <c r="N1566" s="131"/>
      <c r="O1566" s="131"/>
      <c r="P1566" s="131"/>
      <c r="Q1566" s="131"/>
      <c r="R1566" s="131"/>
      <c r="S1566" s="131"/>
      <c r="T1566" s="131"/>
      <c r="U1566" s="131"/>
      <c r="V1566" s="131"/>
      <c r="W1566" s="131"/>
      <c r="X1566" s="131"/>
      <c r="Y1566" s="131"/>
      <c r="Z1566" s="131"/>
      <c r="AA1566" s="131"/>
      <c r="AB1566" s="131"/>
      <c r="AC1566" s="131"/>
    </row>
    <row r="1567" spans="2:29" x14ac:dyDescent="0.2">
      <c r="B1567" s="151"/>
      <c r="C1567" s="152"/>
      <c r="H1567" s="340"/>
      <c r="L1567" s="131"/>
      <c r="M1567" s="131"/>
      <c r="N1567" s="131"/>
      <c r="O1567" s="131"/>
      <c r="P1567" s="131"/>
      <c r="Q1567" s="131"/>
      <c r="R1567" s="131"/>
      <c r="S1567" s="131"/>
      <c r="T1567" s="131"/>
      <c r="U1567" s="131"/>
      <c r="V1567" s="131"/>
      <c r="W1567" s="131"/>
      <c r="X1567" s="131"/>
      <c r="Y1567" s="131"/>
      <c r="Z1567" s="131"/>
      <c r="AA1567" s="131"/>
      <c r="AB1567" s="131"/>
      <c r="AC1567" s="131"/>
    </row>
    <row r="1568" spans="2:29" x14ac:dyDescent="0.2">
      <c r="B1568" s="151"/>
      <c r="C1568" s="152"/>
      <c r="H1568" s="340"/>
      <c r="L1568" s="131"/>
      <c r="M1568" s="131"/>
      <c r="N1568" s="131"/>
      <c r="O1568" s="131"/>
      <c r="P1568" s="131"/>
      <c r="Q1568" s="131"/>
      <c r="R1568" s="131"/>
      <c r="S1568" s="131"/>
      <c r="T1568" s="131"/>
      <c r="U1568" s="131"/>
      <c r="V1568" s="131"/>
      <c r="W1568" s="131"/>
      <c r="X1568" s="131"/>
      <c r="Y1568" s="131"/>
      <c r="Z1568" s="131"/>
      <c r="AA1568" s="131"/>
      <c r="AB1568" s="131"/>
      <c r="AC1568" s="131"/>
    </row>
    <row r="1569" spans="2:29" x14ac:dyDescent="0.2">
      <c r="B1569" s="151"/>
      <c r="C1569" s="152"/>
      <c r="H1569" s="340"/>
      <c r="L1569" s="131"/>
      <c r="M1569" s="131"/>
      <c r="N1569" s="131"/>
      <c r="O1569" s="131"/>
      <c r="P1569" s="131"/>
      <c r="Q1569" s="131"/>
      <c r="R1569" s="131"/>
      <c r="S1569" s="131"/>
      <c r="T1569" s="131"/>
      <c r="U1569" s="131"/>
      <c r="V1569" s="131"/>
      <c r="W1569" s="131"/>
      <c r="X1569" s="131"/>
      <c r="Y1569" s="131"/>
      <c r="Z1569" s="131"/>
      <c r="AA1569" s="131"/>
      <c r="AB1569" s="131"/>
      <c r="AC1569" s="131"/>
    </row>
    <row r="1570" spans="2:29" x14ac:dyDescent="0.2">
      <c r="B1570" s="151"/>
      <c r="C1570" s="152"/>
      <c r="H1570" s="340"/>
      <c r="L1570" s="131"/>
      <c r="M1570" s="131"/>
      <c r="N1570" s="131"/>
      <c r="O1570" s="131"/>
      <c r="P1570" s="131"/>
      <c r="Q1570" s="131"/>
      <c r="R1570" s="131"/>
      <c r="S1570" s="131"/>
      <c r="T1570" s="131"/>
      <c r="U1570" s="131"/>
      <c r="V1570" s="131"/>
      <c r="W1570" s="131"/>
      <c r="X1570" s="131"/>
      <c r="Y1570" s="131"/>
      <c r="Z1570" s="131"/>
      <c r="AA1570" s="131"/>
      <c r="AB1570" s="131"/>
      <c r="AC1570" s="131"/>
    </row>
    <row r="1571" spans="2:29" x14ac:dyDescent="0.2">
      <c r="B1571" s="151"/>
      <c r="C1571" s="152"/>
      <c r="H1571" s="340"/>
      <c r="L1571" s="131"/>
      <c r="M1571" s="131"/>
      <c r="N1571" s="131"/>
      <c r="O1571" s="131"/>
      <c r="P1571" s="131"/>
      <c r="Q1571" s="131"/>
      <c r="R1571" s="131"/>
      <c r="S1571" s="131"/>
      <c r="T1571" s="131"/>
      <c r="U1571" s="131"/>
      <c r="V1571" s="131"/>
      <c r="W1571" s="131"/>
      <c r="X1571" s="131"/>
      <c r="Y1571" s="131"/>
      <c r="Z1571" s="131"/>
      <c r="AA1571" s="131"/>
      <c r="AB1571" s="131"/>
      <c r="AC1571" s="131"/>
    </row>
    <row r="1572" spans="2:29" x14ac:dyDescent="0.2">
      <c r="B1572" s="151"/>
      <c r="C1572" s="152"/>
      <c r="H1572" s="340"/>
      <c r="L1572" s="131"/>
      <c r="M1572" s="131"/>
      <c r="N1572" s="131"/>
      <c r="O1572" s="131"/>
      <c r="P1572" s="131"/>
      <c r="Q1572" s="131"/>
      <c r="R1572" s="131"/>
      <c r="S1572" s="131"/>
      <c r="T1572" s="131"/>
      <c r="U1572" s="131"/>
      <c r="V1572" s="131"/>
      <c r="W1572" s="131"/>
      <c r="X1572" s="131"/>
      <c r="Y1572" s="131"/>
      <c r="Z1572" s="131"/>
      <c r="AA1572" s="131"/>
      <c r="AB1572" s="131"/>
      <c r="AC1572" s="131"/>
    </row>
    <row r="1573" spans="2:29" x14ac:dyDescent="0.2">
      <c r="B1573" s="151"/>
      <c r="C1573" s="152"/>
      <c r="H1573" s="340"/>
      <c r="L1573" s="131"/>
      <c r="M1573" s="131"/>
      <c r="N1573" s="131"/>
      <c r="O1573" s="131"/>
      <c r="P1573" s="131"/>
      <c r="Q1573" s="131"/>
      <c r="R1573" s="131"/>
      <c r="S1573" s="131"/>
      <c r="T1573" s="131"/>
      <c r="U1573" s="131"/>
      <c r="V1573" s="131"/>
      <c r="W1573" s="131"/>
      <c r="X1573" s="131"/>
      <c r="Y1573" s="131"/>
      <c r="Z1573" s="131"/>
      <c r="AA1573" s="131"/>
      <c r="AB1573" s="131"/>
      <c r="AC1573" s="131"/>
    </row>
    <row r="1574" spans="2:29" x14ac:dyDescent="0.2">
      <c r="B1574" s="151"/>
      <c r="C1574" s="152"/>
      <c r="H1574" s="340"/>
      <c r="L1574" s="131"/>
      <c r="M1574" s="131"/>
      <c r="N1574" s="131"/>
      <c r="O1574" s="131"/>
      <c r="P1574" s="131"/>
      <c r="Q1574" s="131"/>
      <c r="R1574" s="131"/>
      <c r="S1574" s="131"/>
      <c r="T1574" s="131"/>
      <c r="U1574" s="131"/>
      <c r="V1574" s="131"/>
      <c r="W1574" s="131"/>
      <c r="X1574" s="131"/>
      <c r="Y1574" s="131"/>
      <c r="Z1574" s="131"/>
      <c r="AA1574" s="131"/>
      <c r="AB1574" s="131"/>
      <c r="AC1574" s="131"/>
    </row>
    <row r="1575" spans="2:29" x14ac:dyDescent="0.2">
      <c r="B1575" s="151"/>
      <c r="C1575" s="152"/>
      <c r="H1575" s="340"/>
      <c r="L1575" s="131"/>
      <c r="M1575" s="131"/>
      <c r="N1575" s="131"/>
      <c r="O1575" s="131"/>
      <c r="P1575" s="131"/>
      <c r="Q1575" s="131"/>
      <c r="R1575" s="131"/>
      <c r="S1575" s="131"/>
      <c r="T1575" s="131"/>
      <c r="U1575" s="131"/>
      <c r="V1575" s="131"/>
      <c r="W1575" s="131"/>
      <c r="X1575" s="131"/>
      <c r="Y1575" s="131"/>
      <c r="Z1575" s="131"/>
      <c r="AA1575" s="131"/>
      <c r="AB1575" s="131"/>
      <c r="AC1575" s="131"/>
    </row>
    <row r="1576" spans="2:29" x14ac:dyDescent="0.2">
      <c r="B1576" s="151"/>
      <c r="C1576" s="152"/>
      <c r="H1576" s="340"/>
      <c r="L1576" s="131"/>
      <c r="M1576" s="131"/>
      <c r="N1576" s="131"/>
      <c r="O1576" s="131"/>
      <c r="P1576" s="131"/>
      <c r="Q1576" s="131"/>
      <c r="R1576" s="131"/>
      <c r="S1576" s="131"/>
      <c r="T1576" s="131"/>
      <c r="U1576" s="131"/>
      <c r="V1576" s="131"/>
      <c r="W1576" s="131"/>
      <c r="X1576" s="131"/>
      <c r="Y1576" s="131"/>
      <c r="Z1576" s="131"/>
      <c r="AA1576" s="131"/>
      <c r="AB1576" s="131"/>
      <c r="AC1576" s="131"/>
    </row>
    <row r="1577" spans="2:29" x14ac:dyDescent="0.2">
      <c r="B1577" s="151"/>
      <c r="C1577" s="152"/>
      <c r="H1577" s="340"/>
      <c r="L1577" s="131"/>
      <c r="M1577" s="131"/>
      <c r="N1577" s="131"/>
      <c r="O1577" s="131"/>
      <c r="P1577" s="131"/>
      <c r="Q1577" s="131"/>
      <c r="R1577" s="131"/>
      <c r="S1577" s="131"/>
      <c r="T1577" s="131"/>
      <c r="U1577" s="131"/>
      <c r="V1577" s="131"/>
      <c r="W1577" s="131"/>
      <c r="X1577" s="131"/>
      <c r="Y1577" s="131"/>
      <c r="Z1577" s="131"/>
      <c r="AA1577" s="131"/>
      <c r="AB1577" s="131"/>
      <c r="AC1577" s="131"/>
    </row>
    <row r="1578" spans="2:29" x14ac:dyDescent="0.2">
      <c r="B1578" s="151"/>
      <c r="C1578" s="152"/>
      <c r="H1578" s="340"/>
      <c r="L1578" s="131"/>
      <c r="M1578" s="131"/>
      <c r="N1578" s="131"/>
      <c r="O1578" s="131"/>
      <c r="P1578" s="131"/>
      <c r="Q1578" s="131"/>
      <c r="R1578" s="131"/>
      <c r="S1578" s="131"/>
      <c r="T1578" s="131"/>
      <c r="U1578" s="131"/>
      <c r="V1578" s="131"/>
      <c r="W1578" s="131"/>
      <c r="X1578" s="131"/>
      <c r="Y1578" s="131"/>
      <c r="Z1578" s="131"/>
      <c r="AA1578" s="131"/>
      <c r="AB1578" s="131"/>
      <c r="AC1578" s="131"/>
    </row>
    <row r="1579" spans="2:29" x14ac:dyDescent="0.2">
      <c r="B1579" s="151"/>
      <c r="C1579" s="152"/>
      <c r="H1579" s="340"/>
      <c r="L1579" s="131"/>
      <c r="M1579" s="131"/>
      <c r="N1579" s="131"/>
      <c r="O1579" s="131"/>
      <c r="P1579" s="131"/>
      <c r="Q1579" s="131"/>
      <c r="R1579" s="131"/>
      <c r="S1579" s="131"/>
      <c r="T1579" s="131"/>
      <c r="U1579" s="131"/>
      <c r="V1579" s="131"/>
      <c r="W1579" s="131"/>
      <c r="X1579" s="131"/>
      <c r="Y1579" s="131"/>
      <c r="Z1579" s="131"/>
      <c r="AA1579" s="131"/>
      <c r="AB1579" s="131"/>
      <c r="AC1579" s="131"/>
    </row>
    <row r="1580" spans="2:29" x14ac:dyDescent="0.2">
      <c r="B1580" s="151"/>
      <c r="C1580" s="152"/>
      <c r="H1580" s="340"/>
      <c r="L1580" s="131"/>
      <c r="M1580" s="131"/>
      <c r="N1580" s="131"/>
      <c r="O1580" s="131"/>
      <c r="P1580" s="131"/>
      <c r="Q1580" s="131"/>
      <c r="R1580" s="131"/>
      <c r="S1580" s="131"/>
      <c r="T1580" s="131"/>
      <c r="U1580" s="131"/>
      <c r="V1580" s="131"/>
      <c r="W1580" s="131"/>
      <c r="X1580" s="131"/>
      <c r="Y1580" s="131"/>
      <c r="Z1580" s="131"/>
      <c r="AA1580" s="131"/>
      <c r="AB1580" s="131"/>
      <c r="AC1580" s="131"/>
    </row>
    <row r="1581" spans="2:29" x14ac:dyDescent="0.2">
      <c r="B1581" s="151"/>
      <c r="C1581" s="152"/>
      <c r="H1581" s="340"/>
      <c r="L1581" s="131"/>
      <c r="M1581" s="131"/>
      <c r="N1581" s="131"/>
      <c r="O1581" s="131"/>
      <c r="P1581" s="131"/>
      <c r="Q1581" s="131"/>
      <c r="R1581" s="131"/>
      <c r="S1581" s="131"/>
      <c r="T1581" s="131"/>
      <c r="U1581" s="131"/>
      <c r="V1581" s="131"/>
      <c r="W1581" s="131"/>
      <c r="X1581" s="131"/>
      <c r="Y1581" s="131"/>
      <c r="Z1581" s="131"/>
      <c r="AA1581" s="131"/>
      <c r="AB1581" s="131"/>
      <c r="AC1581" s="131"/>
    </row>
    <row r="1582" spans="2:29" x14ac:dyDescent="0.2">
      <c r="B1582" s="151"/>
      <c r="C1582" s="152"/>
      <c r="H1582" s="340"/>
      <c r="L1582" s="131"/>
      <c r="M1582" s="131"/>
      <c r="N1582" s="131"/>
      <c r="O1582" s="131"/>
      <c r="P1582" s="131"/>
      <c r="Q1582" s="131"/>
      <c r="R1582" s="131"/>
      <c r="S1582" s="131"/>
      <c r="T1582" s="131"/>
      <c r="U1582" s="131"/>
      <c r="V1582" s="131"/>
      <c r="W1582" s="131"/>
      <c r="X1582" s="131"/>
      <c r="Y1582" s="131"/>
      <c r="Z1582" s="131"/>
      <c r="AA1582" s="131"/>
      <c r="AB1582" s="131"/>
      <c r="AC1582" s="131"/>
    </row>
    <row r="1583" spans="2:29" x14ac:dyDescent="0.2">
      <c r="B1583" s="151"/>
      <c r="C1583" s="152"/>
      <c r="H1583" s="340"/>
      <c r="L1583" s="131"/>
      <c r="M1583" s="131"/>
      <c r="N1583" s="131"/>
      <c r="O1583" s="131"/>
      <c r="P1583" s="131"/>
      <c r="Q1583" s="131"/>
      <c r="R1583" s="131"/>
      <c r="S1583" s="131"/>
      <c r="T1583" s="131"/>
      <c r="U1583" s="131"/>
      <c r="V1583" s="131"/>
      <c r="W1583" s="131"/>
      <c r="X1583" s="131"/>
      <c r="Y1583" s="131"/>
      <c r="Z1583" s="131"/>
      <c r="AA1583" s="131"/>
      <c r="AB1583" s="131"/>
      <c r="AC1583" s="131"/>
    </row>
    <row r="1584" spans="2:29" x14ac:dyDescent="0.2">
      <c r="B1584" s="151"/>
      <c r="C1584" s="152"/>
      <c r="H1584" s="340"/>
      <c r="L1584" s="131"/>
      <c r="M1584" s="131"/>
      <c r="N1584" s="131"/>
      <c r="O1584" s="131"/>
      <c r="P1584" s="131"/>
      <c r="Q1584" s="131"/>
      <c r="R1584" s="131"/>
      <c r="S1584" s="131"/>
      <c r="T1584" s="131"/>
      <c r="U1584" s="131"/>
      <c r="V1584" s="131"/>
      <c r="W1584" s="131"/>
      <c r="X1584" s="131"/>
      <c r="Y1584" s="131"/>
      <c r="Z1584" s="131"/>
      <c r="AA1584" s="131"/>
      <c r="AB1584" s="131"/>
      <c r="AC1584" s="131"/>
    </row>
    <row r="1585" spans="2:29" x14ac:dyDescent="0.2">
      <c r="B1585" s="151"/>
      <c r="C1585" s="152"/>
      <c r="H1585" s="340"/>
      <c r="L1585" s="131"/>
      <c r="M1585" s="131"/>
      <c r="N1585" s="131"/>
      <c r="O1585" s="131"/>
      <c r="P1585" s="131"/>
      <c r="Q1585" s="131"/>
      <c r="R1585" s="131"/>
      <c r="S1585" s="131"/>
      <c r="T1585" s="131"/>
      <c r="U1585" s="131"/>
      <c r="V1585" s="131"/>
      <c r="W1585" s="131"/>
      <c r="X1585" s="131"/>
      <c r="Y1585" s="131"/>
      <c r="Z1585" s="131"/>
      <c r="AA1585" s="131"/>
      <c r="AB1585" s="131"/>
      <c r="AC1585" s="131"/>
    </row>
    <row r="1586" spans="2:29" x14ac:dyDescent="0.2">
      <c r="B1586" s="151"/>
      <c r="C1586" s="152"/>
      <c r="H1586" s="340"/>
      <c r="L1586" s="131"/>
      <c r="M1586" s="131"/>
      <c r="N1586" s="131"/>
      <c r="O1586" s="131"/>
      <c r="P1586" s="131"/>
      <c r="Q1586" s="131"/>
      <c r="R1586" s="131"/>
      <c r="S1586" s="131"/>
      <c r="T1586" s="131"/>
      <c r="U1586" s="131"/>
      <c r="V1586" s="131"/>
      <c r="W1586" s="131"/>
      <c r="X1586" s="131"/>
      <c r="Y1586" s="131"/>
      <c r="Z1586" s="131"/>
      <c r="AA1586" s="131"/>
      <c r="AB1586" s="131"/>
      <c r="AC1586" s="131"/>
    </row>
    <row r="1587" spans="2:29" x14ac:dyDescent="0.2">
      <c r="B1587" s="151"/>
      <c r="C1587" s="152"/>
      <c r="H1587" s="340"/>
      <c r="L1587" s="131"/>
      <c r="M1587" s="131"/>
      <c r="N1587" s="131"/>
      <c r="O1587" s="131"/>
      <c r="P1587" s="131"/>
      <c r="Q1587" s="131"/>
      <c r="R1587" s="131"/>
      <c r="S1587" s="131"/>
      <c r="T1587" s="131"/>
      <c r="U1587" s="131"/>
      <c r="V1587" s="131"/>
      <c r="W1587" s="131"/>
      <c r="X1587" s="131"/>
      <c r="Y1587" s="131"/>
      <c r="Z1587" s="131"/>
      <c r="AA1587" s="131"/>
      <c r="AB1587" s="131"/>
      <c r="AC1587" s="131"/>
    </row>
    <row r="1588" spans="2:29" x14ac:dyDescent="0.2">
      <c r="B1588" s="151"/>
      <c r="C1588" s="152"/>
      <c r="H1588" s="340"/>
      <c r="L1588" s="131"/>
      <c r="M1588" s="131"/>
      <c r="N1588" s="131"/>
      <c r="O1588" s="131"/>
      <c r="P1588" s="131"/>
      <c r="Q1588" s="131"/>
      <c r="R1588" s="131"/>
      <c r="S1588" s="131"/>
      <c r="T1588" s="131"/>
      <c r="U1588" s="131"/>
      <c r="V1588" s="131"/>
      <c r="W1588" s="131"/>
      <c r="X1588" s="131"/>
      <c r="Y1588" s="131"/>
      <c r="Z1588" s="131"/>
      <c r="AA1588" s="131"/>
      <c r="AB1588" s="131"/>
      <c r="AC1588" s="131"/>
    </row>
    <row r="1589" spans="2:29" x14ac:dyDescent="0.2">
      <c r="B1589" s="151"/>
      <c r="C1589" s="152"/>
      <c r="H1589" s="340"/>
      <c r="L1589" s="131"/>
      <c r="M1589" s="131"/>
      <c r="N1589" s="131"/>
      <c r="O1589" s="131"/>
      <c r="P1589" s="131"/>
      <c r="Q1589" s="131"/>
      <c r="R1589" s="131"/>
      <c r="S1589" s="131"/>
      <c r="T1589" s="131"/>
      <c r="U1589" s="131"/>
      <c r="V1589" s="131"/>
      <c r="W1589" s="131"/>
      <c r="X1589" s="131"/>
      <c r="Y1589" s="131"/>
      <c r="Z1589" s="131"/>
      <c r="AA1589" s="131"/>
      <c r="AB1589" s="131"/>
      <c r="AC1589" s="131"/>
    </row>
    <row r="1590" spans="2:29" x14ac:dyDescent="0.2">
      <c r="B1590" s="151"/>
      <c r="C1590" s="152"/>
      <c r="H1590" s="340"/>
      <c r="L1590" s="131"/>
      <c r="M1590" s="131"/>
      <c r="N1590" s="131"/>
      <c r="O1590" s="131"/>
      <c r="P1590" s="131"/>
      <c r="Q1590" s="131"/>
      <c r="R1590" s="131"/>
      <c r="S1590" s="131"/>
      <c r="T1590" s="131"/>
      <c r="U1590" s="131"/>
      <c r="V1590" s="131"/>
      <c r="W1590" s="131"/>
      <c r="X1590" s="131"/>
      <c r="Y1590" s="131"/>
      <c r="Z1590" s="131"/>
      <c r="AA1590" s="131"/>
      <c r="AB1590" s="131"/>
      <c r="AC1590" s="131"/>
    </row>
    <row r="1591" spans="2:29" x14ac:dyDescent="0.2">
      <c r="B1591" s="151"/>
      <c r="C1591" s="152"/>
      <c r="H1591" s="340"/>
      <c r="L1591" s="131"/>
      <c r="M1591" s="131"/>
      <c r="N1591" s="131"/>
      <c r="O1591" s="131"/>
      <c r="P1591" s="131"/>
      <c r="Q1591" s="131"/>
      <c r="R1591" s="131"/>
      <c r="S1591" s="131"/>
      <c r="T1591" s="131"/>
      <c r="U1591" s="131"/>
      <c r="V1591" s="131"/>
      <c r="W1591" s="131"/>
      <c r="X1591" s="131"/>
      <c r="Y1591" s="131"/>
      <c r="Z1591" s="131"/>
      <c r="AA1591" s="131"/>
      <c r="AB1591" s="131"/>
      <c r="AC1591" s="131"/>
    </row>
    <row r="1592" spans="2:29" x14ac:dyDescent="0.2">
      <c r="B1592" s="151"/>
      <c r="C1592" s="152"/>
      <c r="H1592" s="340"/>
      <c r="L1592" s="131"/>
      <c r="M1592" s="131"/>
      <c r="N1592" s="131"/>
      <c r="O1592" s="131"/>
      <c r="P1592" s="131"/>
      <c r="Q1592" s="131"/>
      <c r="R1592" s="131"/>
      <c r="S1592" s="131"/>
      <c r="T1592" s="131"/>
      <c r="U1592" s="131"/>
      <c r="V1592" s="131"/>
      <c r="W1592" s="131"/>
      <c r="X1592" s="131"/>
      <c r="Y1592" s="131"/>
      <c r="Z1592" s="131"/>
      <c r="AA1592" s="131"/>
      <c r="AB1592" s="131"/>
      <c r="AC1592" s="131"/>
    </row>
    <row r="1593" spans="2:29" x14ac:dyDescent="0.2">
      <c r="B1593" s="151"/>
      <c r="C1593" s="152"/>
      <c r="H1593" s="340"/>
      <c r="L1593" s="131"/>
      <c r="M1593" s="131"/>
      <c r="N1593" s="131"/>
      <c r="O1593" s="131"/>
      <c r="P1593" s="131"/>
      <c r="Q1593" s="131"/>
      <c r="R1593" s="131"/>
      <c r="S1593" s="131"/>
      <c r="T1593" s="131"/>
      <c r="U1593" s="131"/>
      <c r="V1593" s="131"/>
      <c r="W1593" s="131"/>
      <c r="X1593" s="131"/>
      <c r="Y1593" s="131"/>
      <c r="Z1593" s="131"/>
      <c r="AA1593" s="131"/>
      <c r="AB1593" s="131"/>
      <c r="AC1593" s="131"/>
    </row>
    <row r="1594" spans="2:29" x14ac:dyDescent="0.2">
      <c r="B1594" s="151"/>
      <c r="C1594" s="152"/>
      <c r="H1594" s="340"/>
      <c r="L1594" s="131"/>
      <c r="M1594" s="131"/>
      <c r="N1594" s="131"/>
      <c r="O1594" s="131"/>
      <c r="P1594" s="131"/>
      <c r="Q1594" s="131"/>
      <c r="R1594" s="131"/>
      <c r="S1594" s="131"/>
      <c r="T1594" s="131"/>
      <c r="U1594" s="131"/>
      <c r="V1594" s="131"/>
      <c r="W1594" s="131"/>
      <c r="X1594" s="131"/>
      <c r="Y1594" s="131"/>
      <c r="Z1594" s="131"/>
      <c r="AA1594" s="131"/>
      <c r="AB1594" s="131"/>
      <c r="AC1594" s="131"/>
    </row>
    <row r="1595" spans="2:29" x14ac:dyDescent="0.2">
      <c r="B1595" s="151"/>
      <c r="C1595" s="152"/>
      <c r="H1595" s="340"/>
      <c r="L1595" s="131"/>
      <c r="M1595" s="131"/>
      <c r="N1595" s="131"/>
      <c r="O1595" s="131"/>
      <c r="P1595" s="131"/>
      <c r="Q1595" s="131"/>
      <c r="R1595" s="131"/>
      <c r="S1595" s="131"/>
      <c r="T1595" s="131"/>
      <c r="U1595" s="131"/>
      <c r="V1595" s="131"/>
      <c r="W1595" s="131"/>
      <c r="X1595" s="131"/>
      <c r="Y1595" s="131"/>
      <c r="Z1595" s="131"/>
      <c r="AA1595" s="131"/>
      <c r="AB1595" s="131"/>
      <c r="AC1595" s="131"/>
    </row>
    <row r="1596" spans="2:29" x14ac:dyDescent="0.2">
      <c r="B1596" s="151"/>
      <c r="C1596" s="152"/>
      <c r="H1596" s="340"/>
      <c r="L1596" s="131"/>
      <c r="M1596" s="131"/>
      <c r="N1596" s="131"/>
      <c r="O1596" s="131"/>
      <c r="P1596" s="131"/>
      <c r="Q1596" s="131"/>
      <c r="R1596" s="131"/>
      <c r="S1596" s="131"/>
      <c r="T1596" s="131"/>
      <c r="U1596" s="131"/>
      <c r="V1596" s="131"/>
      <c r="W1596" s="131"/>
      <c r="X1596" s="131"/>
      <c r="Y1596" s="131"/>
      <c r="Z1596" s="131"/>
      <c r="AA1596" s="131"/>
      <c r="AB1596" s="131"/>
      <c r="AC1596" s="131"/>
    </row>
    <row r="1597" spans="2:29" x14ac:dyDescent="0.2">
      <c r="B1597" s="151"/>
      <c r="C1597" s="152"/>
      <c r="H1597" s="340"/>
      <c r="L1597" s="131"/>
      <c r="M1597" s="131"/>
      <c r="N1597" s="131"/>
      <c r="O1597" s="131"/>
      <c r="P1597" s="131"/>
      <c r="Q1597" s="131"/>
      <c r="R1597" s="131"/>
      <c r="S1597" s="131"/>
      <c r="T1597" s="131"/>
      <c r="U1597" s="131"/>
      <c r="V1597" s="131"/>
      <c r="W1597" s="131"/>
      <c r="X1597" s="131"/>
      <c r="Y1597" s="131"/>
      <c r="Z1597" s="131"/>
      <c r="AA1597" s="131"/>
      <c r="AB1597" s="131"/>
      <c r="AC1597" s="131"/>
    </row>
    <row r="1598" spans="2:29" x14ac:dyDescent="0.2">
      <c r="B1598" s="151"/>
      <c r="C1598" s="152"/>
      <c r="H1598" s="340"/>
      <c r="L1598" s="131"/>
      <c r="M1598" s="131"/>
      <c r="N1598" s="131"/>
      <c r="O1598" s="131"/>
      <c r="P1598" s="131"/>
      <c r="Q1598" s="131"/>
      <c r="R1598" s="131"/>
      <c r="S1598" s="131"/>
      <c r="T1598" s="131"/>
      <c r="U1598" s="131"/>
      <c r="V1598" s="131"/>
      <c r="W1598" s="131"/>
      <c r="X1598" s="131"/>
      <c r="Y1598" s="131"/>
      <c r="Z1598" s="131"/>
      <c r="AA1598" s="131"/>
      <c r="AB1598" s="131"/>
      <c r="AC1598" s="131"/>
    </row>
    <row r="1599" spans="2:29" x14ac:dyDescent="0.2">
      <c r="B1599" s="151"/>
      <c r="C1599" s="152"/>
      <c r="H1599" s="340"/>
      <c r="L1599" s="131"/>
      <c r="M1599" s="131"/>
      <c r="N1599" s="131"/>
      <c r="O1599" s="131"/>
      <c r="P1599" s="131"/>
      <c r="Q1599" s="131"/>
      <c r="R1599" s="131"/>
      <c r="S1599" s="131"/>
      <c r="T1599" s="131"/>
      <c r="U1599" s="131"/>
      <c r="V1599" s="131"/>
      <c r="W1599" s="131"/>
      <c r="X1599" s="131"/>
      <c r="Y1599" s="131"/>
      <c r="Z1599" s="131"/>
      <c r="AA1599" s="131"/>
      <c r="AB1599" s="131"/>
      <c r="AC1599" s="131"/>
    </row>
    <row r="1600" spans="2:29" x14ac:dyDescent="0.2">
      <c r="B1600" s="151"/>
      <c r="C1600" s="152"/>
      <c r="H1600" s="340"/>
      <c r="L1600" s="131"/>
      <c r="M1600" s="131"/>
      <c r="N1600" s="131"/>
      <c r="O1600" s="131"/>
      <c r="P1600" s="131"/>
      <c r="Q1600" s="131"/>
      <c r="R1600" s="131"/>
      <c r="S1600" s="131"/>
      <c r="T1600" s="131"/>
      <c r="U1600" s="131"/>
      <c r="V1600" s="131"/>
      <c r="W1600" s="131"/>
      <c r="X1600" s="131"/>
      <c r="Y1600" s="131"/>
      <c r="Z1600" s="131"/>
      <c r="AA1600" s="131"/>
      <c r="AB1600" s="131"/>
      <c r="AC1600" s="131"/>
    </row>
    <row r="1601" spans="2:29" x14ac:dyDescent="0.2">
      <c r="B1601" s="151"/>
      <c r="C1601" s="152"/>
      <c r="H1601" s="340"/>
      <c r="L1601" s="131"/>
      <c r="M1601" s="131"/>
      <c r="N1601" s="131"/>
      <c r="O1601" s="131"/>
      <c r="P1601" s="131"/>
      <c r="Q1601" s="131"/>
      <c r="R1601" s="131"/>
      <c r="S1601" s="131"/>
      <c r="T1601" s="131"/>
      <c r="U1601" s="131"/>
      <c r="V1601" s="131"/>
      <c r="W1601" s="131"/>
      <c r="X1601" s="131"/>
      <c r="Y1601" s="131"/>
      <c r="Z1601" s="131"/>
      <c r="AA1601" s="131"/>
      <c r="AB1601" s="131"/>
      <c r="AC1601" s="131"/>
    </row>
    <row r="1602" spans="2:29" x14ac:dyDescent="0.2">
      <c r="B1602" s="151"/>
      <c r="C1602" s="152"/>
      <c r="H1602" s="340"/>
      <c r="L1602" s="131"/>
      <c r="M1602" s="131"/>
      <c r="N1602" s="131"/>
      <c r="O1602" s="131"/>
      <c r="P1602" s="131"/>
      <c r="Q1602" s="131"/>
      <c r="R1602" s="131"/>
      <c r="S1602" s="131"/>
      <c r="T1602" s="131"/>
      <c r="U1602" s="131"/>
      <c r="V1602" s="131"/>
      <c r="W1602" s="131"/>
      <c r="X1602" s="131"/>
      <c r="Y1602" s="131"/>
      <c r="Z1602" s="131"/>
      <c r="AA1602" s="131"/>
      <c r="AB1602" s="131"/>
      <c r="AC1602" s="131"/>
    </row>
    <row r="1603" spans="2:29" x14ac:dyDescent="0.2">
      <c r="B1603" s="151"/>
      <c r="C1603" s="152"/>
      <c r="H1603" s="340"/>
      <c r="L1603" s="131"/>
      <c r="M1603" s="131"/>
      <c r="N1603" s="131"/>
      <c r="O1603" s="131"/>
      <c r="P1603" s="131"/>
      <c r="Q1603" s="131"/>
      <c r="R1603" s="131"/>
      <c r="S1603" s="131"/>
      <c r="T1603" s="131"/>
      <c r="U1603" s="131"/>
      <c r="V1603" s="131"/>
      <c r="W1603" s="131"/>
      <c r="X1603" s="131"/>
      <c r="Y1603" s="131"/>
      <c r="Z1603" s="131"/>
      <c r="AA1603" s="131"/>
      <c r="AB1603" s="131"/>
      <c r="AC1603" s="131"/>
    </row>
    <row r="1604" spans="2:29" x14ac:dyDescent="0.2">
      <c r="B1604" s="151"/>
      <c r="C1604" s="152"/>
      <c r="H1604" s="340"/>
      <c r="L1604" s="131"/>
      <c r="M1604" s="131"/>
      <c r="N1604" s="131"/>
      <c r="O1604" s="131"/>
      <c r="P1604" s="131"/>
      <c r="Q1604" s="131"/>
      <c r="R1604" s="131"/>
      <c r="S1604" s="131"/>
      <c r="T1604" s="131"/>
      <c r="U1604" s="131"/>
      <c r="V1604" s="131"/>
      <c r="W1604" s="131"/>
      <c r="X1604" s="131"/>
      <c r="Y1604" s="131"/>
      <c r="Z1604" s="131"/>
      <c r="AA1604" s="131"/>
      <c r="AB1604" s="131"/>
      <c r="AC1604" s="131"/>
    </row>
    <row r="1605" spans="2:29" x14ac:dyDescent="0.2">
      <c r="B1605" s="151"/>
      <c r="C1605" s="152"/>
      <c r="H1605" s="340"/>
      <c r="L1605" s="131"/>
      <c r="M1605" s="131"/>
      <c r="N1605" s="131"/>
      <c r="O1605" s="131"/>
      <c r="P1605" s="131"/>
      <c r="Q1605" s="131"/>
      <c r="R1605" s="131"/>
      <c r="S1605" s="131"/>
      <c r="T1605" s="131"/>
      <c r="U1605" s="131"/>
      <c r="V1605" s="131"/>
      <c r="W1605" s="131"/>
      <c r="X1605" s="131"/>
      <c r="Y1605" s="131"/>
      <c r="Z1605" s="131"/>
      <c r="AA1605" s="131"/>
      <c r="AB1605" s="131"/>
      <c r="AC1605" s="131"/>
    </row>
    <row r="1606" spans="2:29" x14ac:dyDescent="0.2">
      <c r="B1606" s="151"/>
      <c r="C1606" s="152"/>
      <c r="H1606" s="340"/>
      <c r="L1606" s="131"/>
      <c r="M1606" s="131"/>
      <c r="N1606" s="131"/>
      <c r="O1606" s="131"/>
      <c r="P1606" s="131"/>
      <c r="Q1606" s="131"/>
      <c r="R1606" s="131"/>
      <c r="S1606" s="131"/>
      <c r="T1606" s="131"/>
      <c r="U1606" s="131"/>
      <c r="V1606" s="131"/>
      <c r="W1606" s="131"/>
      <c r="X1606" s="131"/>
      <c r="Y1606" s="131"/>
      <c r="Z1606" s="131"/>
      <c r="AA1606" s="131"/>
      <c r="AB1606" s="131"/>
      <c r="AC1606" s="131"/>
    </row>
    <row r="1607" spans="2:29" x14ac:dyDescent="0.2">
      <c r="B1607" s="151"/>
      <c r="C1607" s="152"/>
      <c r="H1607" s="340"/>
      <c r="L1607" s="131"/>
      <c r="M1607" s="131"/>
      <c r="N1607" s="131"/>
      <c r="O1607" s="131"/>
      <c r="P1607" s="131"/>
      <c r="Q1607" s="131"/>
      <c r="R1607" s="131"/>
      <c r="S1607" s="131"/>
      <c r="T1607" s="131"/>
      <c r="U1607" s="131"/>
      <c r="V1607" s="131"/>
      <c r="W1607" s="131"/>
      <c r="X1607" s="131"/>
      <c r="Y1607" s="131"/>
      <c r="Z1607" s="131"/>
      <c r="AA1607" s="131"/>
      <c r="AB1607" s="131"/>
      <c r="AC1607" s="131"/>
    </row>
    <row r="1608" spans="2:29" x14ac:dyDescent="0.2">
      <c r="B1608" s="151"/>
      <c r="C1608" s="152"/>
      <c r="H1608" s="340"/>
      <c r="L1608" s="131"/>
      <c r="M1608" s="131"/>
      <c r="N1608" s="131"/>
      <c r="O1608" s="131"/>
      <c r="P1608" s="131"/>
      <c r="Q1608" s="131"/>
      <c r="R1608" s="131"/>
      <c r="S1608" s="131"/>
      <c r="T1608" s="131"/>
      <c r="U1608" s="131"/>
      <c r="V1608" s="131"/>
      <c r="W1608" s="131"/>
      <c r="X1608" s="131"/>
      <c r="Y1608" s="131"/>
      <c r="Z1608" s="131"/>
      <c r="AA1608" s="131"/>
      <c r="AB1608" s="131"/>
      <c r="AC1608" s="131"/>
    </row>
    <row r="1609" spans="2:29" x14ac:dyDescent="0.2">
      <c r="B1609" s="151"/>
      <c r="C1609" s="152"/>
      <c r="H1609" s="340"/>
      <c r="L1609" s="131"/>
      <c r="M1609" s="131"/>
      <c r="N1609" s="131"/>
      <c r="O1609" s="131"/>
      <c r="P1609" s="131"/>
      <c r="Q1609" s="131"/>
      <c r="R1609" s="131"/>
      <c r="S1609" s="131"/>
      <c r="T1609" s="131"/>
      <c r="U1609" s="131"/>
      <c r="V1609" s="131"/>
      <c r="W1609" s="131"/>
      <c r="X1609" s="131"/>
      <c r="Y1609" s="131"/>
      <c r="Z1609" s="131"/>
      <c r="AA1609" s="131"/>
      <c r="AB1609" s="131"/>
      <c r="AC1609" s="131"/>
    </row>
    <row r="1610" spans="2:29" x14ac:dyDescent="0.2">
      <c r="B1610" s="151"/>
      <c r="C1610" s="152"/>
      <c r="H1610" s="340"/>
      <c r="L1610" s="131"/>
      <c r="M1610" s="131"/>
      <c r="N1610" s="131"/>
      <c r="O1610" s="131"/>
      <c r="P1610" s="131"/>
      <c r="Q1610" s="131"/>
      <c r="R1610" s="131"/>
      <c r="S1610" s="131"/>
      <c r="T1610" s="131"/>
      <c r="U1610" s="131"/>
      <c r="V1610" s="131"/>
      <c r="W1610" s="131"/>
      <c r="X1610" s="131"/>
      <c r="Y1610" s="131"/>
      <c r="Z1610" s="131"/>
      <c r="AA1610" s="131"/>
      <c r="AB1610" s="131"/>
      <c r="AC1610" s="131"/>
    </row>
    <row r="1611" spans="2:29" x14ac:dyDescent="0.2">
      <c r="B1611" s="151"/>
      <c r="C1611" s="152"/>
      <c r="H1611" s="340"/>
      <c r="L1611" s="131"/>
      <c r="M1611" s="131"/>
      <c r="N1611" s="131"/>
      <c r="O1611" s="131"/>
      <c r="P1611" s="131"/>
      <c r="Q1611" s="131"/>
      <c r="R1611" s="131"/>
      <c r="S1611" s="131"/>
      <c r="T1611" s="131"/>
      <c r="U1611" s="131"/>
      <c r="V1611" s="131"/>
      <c r="W1611" s="131"/>
      <c r="X1611" s="131"/>
      <c r="Y1611" s="131"/>
      <c r="Z1611" s="131"/>
      <c r="AA1611" s="131"/>
      <c r="AB1611" s="131"/>
      <c r="AC1611" s="131"/>
    </row>
    <row r="1612" spans="2:29" x14ac:dyDescent="0.2">
      <c r="B1612" s="151"/>
      <c r="C1612" s="152"/>
      <c r="H1612" s="340"/>
      <c r="L1612" s="131"/>
      <c r="M1612" s="131"/>
      <c r="N1612" s="131"/>
      <c r="O1612" s="131"/>
      <c r="P1612" s="131"/>
      <c r="Q1612" s="131"/>
      <c r="R1612" s="131"/>
      <c r="S1612" s="131"/>
      <c r="T1612" s="131"/>
      <c r="U1612" s="131"/>
      <c r="V1612" s="131"/>
      <c r="W1612" s="131"/>
      <c r="X1612" s="131"/>
      <c r="Y1612" s="131"/>
      <c r="Z1612" s="131"/>
      <c r="AA1612" s="131"/>
      <c r="AB1612" s="131"/>
      <c r="AC1612" s="131"/>
    </row>
    <row r="1613" spans="2:29" x14ac:dyDescent="0.2">
      <c r="B1613" s="151"/>
      <c r="C1613" s="152"/>
      <c r="H1613" s="340"/>
      <c r="L1613" s="131"/>
      <c r="M1613" s="131"/>
      <c r="N1613" s="131"/>
      <c r="O1613" s="131"/>
      <c r="P1613" s="131"/>
      <c r="Q1613" s="131"/>
      <c r="R1613" s="131"/>
      <c r="S1613" s="131"/>
      <c r="T1613" s="131"/>
      <c r="U1613" s="131"/>
      <c r="V1613" s="131"/>
      <c r="W1613" s="131"/>
      <c r="X1613" s="131"/>
      <c r="Y1613" s="131"/>
      <c r="Z1613" s="131"/>
      <c r="AA1613" s="131"/>
      <c r="AB1613" s="131"/>
      <c r="AC1613" s="131"/>
    </row>
    <row r="1614" spans="2:29" x14ac:dyDescent="0.2">
      <c r="B1614" s="151"/>
      <c r="C1614" s="152"/>
      <c r="H1614" s="340"/>
      <c r="L1614" s="131"/>
      <c r="M1614" s="131"/>
      <c r="N1614" s="131"/>
      <c r="O1614" s="131"/>
      <c r="P1614" s="131"/>
      <c r="Q1614" s="131"/>
      <c r="R1614" s="131"/>
      <c r="S1614" s="131"/>
      <c r="T1614" s="131"/>
      <c r="U1614" s="131"/>
      <c r="V1614" s="131"/>
      <c r="W1614" s="131"/>
      <c r="X1614" s="131"/>
      <c r="Y1614" s="131"/>
      <c r="Z1614" s="131"/>
      <c r="AA1614" s="131"/>
      <c r="AB1614" s="131"/>
      <c r="AC1614" s="131"/>
    </row>
    <row r="1615" spans="2:29" x14ac:dyDescent="0.2">
      <c r="B1615" s="151"/>
      <c r="C1615" s="152"/>
      <c r="H1615" s="340"/>
      <c r="L1615" s="131"/>
      <c r="M1615" s="131"/>
      <c r="N1615" s="131"/>
      <c r="O1615" s="131"/>
      <c r="P1615" s="131"/>
      <c r="Q1615" s="131"/>
      <c r="R1615" s="131"/>
      <c r="S1615" s="131"/>
      <c r="T1615" s="131"/>
      <c r="U1615" s="131"/>
      <c r="V1615" s="131"/>
      <c r="W1615" s="131"/>
      <c r="X1615" s="131"/>
      <c r="Y1615" s="131"/>
      <c r="Z1615" s="131"/>
      <c r="AA1615" s="131"/>
      <c r="AB1615" s="131"/>
      <c r="AC1615" s="131"/>
    </row>
    <row r="1616" spans="2:29" x14ac:dyDescent="0.2">
      <c r="B1616" s="151"/>
      <c r="C1616" s="152"/>
      <c r="H1616" s="340"/>
      <c r="L1616" s="131"/>
      <c r="M1616" s="131"/>
      <c r="N1616" s="131"/>
      <c r="O1616" s="131"/>
      <c r="P1616" s="131"/>
      <c r="Q1616" s="131"/>
      <c r="R1616" s="131"/>
      <c r="S1616" s="131"/>
      <c r="T1616" s="131"/>
      <c r="U1616" s="131"/>
      <c r="V1616" s="131"/>
      <c r="W1616" s="131"/>
      <c r="X1616" s="131"/>
      <c r="Y1616" s="131"/>
      <c r="Z1616" s="131"/>
      <c r="AA1616" s="131"/>
      <c r="AB1616" s="131"/>
      <c r="AC1616" s="131"/>
    </row>
    <row r="1617" spans="2:29" x14ac:dyDescent="0.2">
      <c r="B1617" s="151"/>
      <c r="C1617" s="152"/>
      <c r="H1617" s="340"/>
      <c r="L1617" s="131"/>
      <c r="M1617" s="131"/>
      <c r="N1617" s="131"/>
      <c r="O1617" s="131"/>
      <c r="P1617" s="131"/>
      <c r="Q1617" s="131"/>
      <c r="R1617" s="131"/>
      <c r="S1617" s="131"/>
      <c r="T1617" s="131"/>
      <c r="U1617" s="131"/>
      <c r="V1617" s="131"/>
      <c r="W1617" s="131"/>
      <c r="X1617" s="131"/>
      <c r="Y1617" s="131"/>
      <c r="Z1617" s="131"/>
      <c r="AA1617" s="131"/>
      <c r="AB1617" s="131"/>
      <c r="AC1617" s="131"/>
    </row>
    <row r="1618" spans="2:29" x14ac:dyDescent="0.2">
      <c r="B1618" s="151"/>
      <c r="C1618" s="152"/>
      <c r="H1618" s="340"/>
      <c r="L1618" s="131"/>
      <c r="M1618" s="131"/>
      <c r="N1618" s="131"/>
      <c r="O1618" s="131"/>
      <c r="P1618" s="131"/>
      <c r="Q1618" s="131"/>
      <c r="R1618" s="131"/>
      <c r="S1618" s="131"/>
      <c r="T1618" s="131"/>
      <c r="U1618" s="131"/>
      <c r="V1618" s="131"/>
      <c r="W1618" s="131"/>
      <c r="X1618" s="131"/>
      <c r="Y1618" s="131"/>
      <c r="Z1618" s="131"/>
      <c r="AA1618" s="131"/>
      <c r="AB1618" s="131"/>
      <c r="AC1618" s="131"/>
    </row>
    <row r="1619" spans="2:29" x14ac:dyDescent="0.2">
      <c r="B1619" s="151"/>
      <c r="C1619" s="152"/>
      <c r="H1619" s="340"/>
      <c r="L1619" s="131"/>
      <c r="M1619" s="131"/>
      <c r="N1619" s="131"/>
      <c r="O1619" s="131"/>
      <c r="P1619" s="131"/>
      <c r="Q1619" s="131"/>
      <c r="R1619" s="131"/>
      <c r="S1619" s="131"/>
      <c r="T1619" s="131"/>
      <c r="U1619" s="131"/>
      <c r="V1619" s="131"/>
      <c r="W1619" s="131"/>
      <c r="X1619" s="131"/>
      <c r="Y1619" s="131"/>
      <c r="Z1619" s="131"/>
      <c r="AA1619" s="131"/>
      <c r="AB1619" s="131"/>
      <c r="AC1619" s="131"/>
    </row>
    <row r="1620" spans="2:29" x14ac:dyDescent="0.2">
      <c r="B1620" s="151"/>
      <c r="C1620" s="152"/>
      <c r="H1620" s="340"/>
      <c r="L1620" s="131"/>
      <c r="M1620" s="131"/>
      <c r="N1620" s="131"/>
      <c r="O1620" s="131"/>
      <c r="P1620" s="131"/>
      <c r="Q1620" s="131"/>
      <c r="R1620" s="131"/>
      <c r="S1620" s="131"/>
      <c r="T1620" s="131"/>
      <c r="U1620" s="131"/>
      <c r="V1620" s="131"/>
      <c r="W1620" s="131"/>
      <c r="X1620" s="131"/>
      <c r="Y1620" s="131"/>
      <c r="Z1620" s="131"/>
      <c r="AA1620" s="131"/>
      <c r="AB1620" s="131"/>
      <c r="AC1620" s="131"/>
    </row>
    <row r="1621" spans="2:29" x14ac:dyDescent="0.2">
      <c r="B1621" s="151"/>
      <c r="C1621" s="152"/>
      <c r="H1621" s="340"/>
      <c r="L1621" s="131"/>
      <c r="M1621" s="131"/>
      <c r="N1621" s="131"/>
      <c r="O1621" s="131"/>
      <c r="P1621" s="131"/>
      <c r="Q1621" s="131"/>
      <c r="R1621" s="131"/>
      <c r="S1621" s="131"/>
      <c r="T1621" s="131"/>
      <c r="U1621" s="131"/>
      <c r="V1621" s="131"/>
      <c r="W1621" s="131"/>
      <c r="X1621" s="131"/>
      <c r="Y1621" s="131"/>
      <c r="Z1621" s="131"/>
      <c r="AA1621" s="131"/>
      <c r="AB1621" s="131"/>
      <c r="AC1621" s="131"/>
    </row>
    <row r="1622" spans="2:29" x14ac:dyDescent="0.2">
      <c r="B1622" s="151"/>
      <c r="C1622" s="152"/>
      <c r="H1622" s="340"/>
      <c r="L1622" s="131"/>
      <c r="M1622" s="131"/>
      <c r="N1622" s="131"/>
      <c r="O1622" s="131"/>
      <c r="P1622" s="131"/>
      <c r="Q1622" s="131"/>
      <c r="R1622" s="131"/>
      <c r="S1622" s="131"/>
      <c r="T1622" s="131"/>
      <c r="U1622" s="131"/>
      <c r="V1622" s="131"/>
      <c r="W1622" s="131"/>
      <c r="X1622" s="131"/>
      <c r="Y1622" s="131"/>
      <c r="Z1622" s="131"/>
      <c r="AA1622" s="131"/>
      <c r="AB1622" s="131"/>
      <c r="AC1622" s="131"/>
    </row>
    <row r="1623" spans="2:29" x14ac:dyDescent="0.2">
      <c r="B1623" s="151"/>
      <c r="C1623" s="152"/>
      <c r="H1623" s="340"/>
      <c r="L1623" s="131"/>
      <c r="M1623" s="131"/>
      <c r="N1623" s="131"/>
      <c r="O1623" s="131"/>
      <c r="P1623" s="131"/>
      <c r="Q1623" s="131"/>
      <c r="R1623" s="131"/>
      <c r="S1623" s="131"/>
      <c r="T1623" s="131"/>
      <c r="U1623" s="131"/>
      <c r="V1623" s="131"/>
      <c r="W1623" s="131"/>
      <c r="X1623" s="131"/>
      <c r="Y1623" s="131"/>
      <c r="Z1623" s="131"/>
      <c r="AA1623" s="131"/>
      <c r="AB1623" s="131"/>
      <c r="AC1623" s="131"/>
    </row>
    <row r="1624" spans="2:29" x14ac:dyDescent="0.2">
      <c r="B1624" s="151"/>
      <c r="C1624" s="152"/>
      <c r="H1624" s="340"/>
      <c r="L1624" s="131"/>
      <c r="M1624" s="131"/>
      <c r="N1624" s="131"/>
      <c r="O1624" s="131"/>
      <c r="P1624" s="131"/>
      <c r="Q1624" s="131"/>
      <c r="R1624" s="131"/>
      <c r="S1624" s="131"/>
      <c r="T1624" s="131"/>
      <c r="U1624" s="131"/>
      <c r="V1624" s="131"/>
      <c r="W1624" s="131"/>
      <c r="X1624" s="131"/>
      <c r="Y1624" s="131"/>
      <c r="Z1624" s="131"/>
      <c r="AA1624" s="131"/>
      <c r="AB1624" s="131"/>
      <c r="AC1624" s="131"/>
    </row>
    <row r="1625" spans="2:29" x14ac:dyDescent="0.2">
      <c r="B1625" s="151"/>
      <c r="C1625" s="152"/>
      <c r="H1625" s="340"/>
      <c r="L1625" s="131"/>
      <c r="M1625" s="131"/>
      <c r="N1625" s="131"/>
      <c r="O1625" s="131"/>
      <c r="P1625" s="131"/>
      <c r="Q1625" s="131"/>
      <c r="R1625" s="131"/>
      <c r="S1625" s="131"/>
      <c r="T1625" s="131"/>
      <c r="U1625" s="131"/>
      <c r="V1625" s="131"/>
      <c r="W1625" s="131"/>
      <c r="X1625" s="131"/>
      <c r="Y1625" s="131"/>
      <c r="Z1625" s="131"/>
      <c r="AA1625" s="131"/>
      <c r="AB1625" s="131"/>
      <c r="AC1625" s="131"/>
    </row>
    <row r="1626" spans="2:29" x14ac:dyDescent="0.2">
      <c r="B1626" s="151"/>
      <c r="C1626" s="152"/>
      <c r="H1626" s="340"/>
      <c r="L1626" s="131"/>
      <c r="M1626" s="131"/>
      <c r="N1626" s="131"/>
      <c r="O1626" s="131"/>
      <c r="P1626" s="131"/>
      <c r="Q1626" s="131"/>
      <c r="R1626" s="131"/>
      <c r="S1626" s="131"/>
      <c r="T1626" s="131"/>
      <c r="U1626" s="131"/>
      <c r="V1626" s="131"/>
      <c r="W1626" s="131"/>
      <c r="X1626" s="131"/>
      <c r="Y1626" s="131"/>
      <c r="Z1626" s="131"/>
      <c r="AA1626" s="131"/>
      <c r="AB1626" s="131"/>
      <c r="AC1626" s="131"/>
    </row>
    <row r="1627" spans="2:29" x14ac:dyDescent="0.2">
      <c r="B1627" s="151"/>
      <c r="C1627" s="152"/>
      <c r="H1627" s="340"/>
      <c r="L1627" s="131"/>
      <c r="M1627" s="131"/>
      <c r="N1627" s="131"/>
      <c r="O1627" s="131"/>
      <c r="P1627" s="131"/>
      <c r="Q1627" s="131"/>
      <c r="R1627" s="131"/>
      <c r="S1627" s="131"/>
      <c r="T1627" s="131"/>
      <c r="U1627" s="131"/>
      <c r="V1627" s="131"/>
      <c r="W1627" s="131"/>
      <c r="X1627" s="131"/>
      <c r="Y1627" s="131"/>
      <c r="Z1627" s="131"/>
      <c r="AA1627" s="131"/>
      <c r="AB1627" s="131"/>
      <c r="AC1627" s="131"/>
    </row>
    <row r="1628" spans="2:29" x14ac:dyDescent="0.2">
      <c r="B1628" s="151"/>
      <c r="C1628" s="152"/>
      <c r="H1628" s="340"/>
      <c r="L1628" s="131"/>
      <c r="M1628" s="131"/>
      <c r="N1628" s="131"/>
      <c r="O1628" s="131"/>
      <c r="P1628" s="131"/>
      <c r="Q1628" s="131"/>
      <c r="R1628" s="131"/>
      <c r="S1628" s="131"/>
      <c r="T1628" s="131"/>
      <c r="U1628" s="131"/>
      <c r="V1628" s="131"/>
      <c r="W1628" s="131"/>
      <c r="X1628" s="131"/>
      <c r="Y1628" s="131"/>
      <c r="Z1628" s="131"/>
      <c r="AA1628" s="131"/>
      <c r="AB1628" s="131"/>
      <c r="AC1628" s="131"/>
    </row>
    <row r="1629" spans="2:29" x14ac:dyDescent="0.2">
      <c r="B1629" s="151"/>
      <c r="C1629" s="152"/>
      <c r="H1629" s="340"/>
      <c r="L1629" s="131"/>
      <c r="M1629" s="131"/>
      <c r="N1629" s="131"/>
      <c r="O1629" s="131"/>
      <c r="P1629" s="131"/>
      <c r="Q1629" s="131"/>
      <c r="R1629" s="131"/>
      <c r="S1629" s="131"/>
      <c r="T1629" s="131"/>
      <c r="U1629" s="131"/>
      <c r="V1629" s="131"/>
      <c r="W1629" s="131"/>
      <c r="X1629" s="131"/>
      <c r="Y1629" s="131"/>
      <c r="Z1629" s="131"/>
      <c r="AA1629" s="131"/>
      <c r="AB1629" s="131"/>
      <c r="AC1629" s="131"/>
    </row>
    <row r="1630" spans="2:29" x14ac:dyDescent="0.2">
      <c r="B1630" s="151"/>
      <c r="C1630" s="152"/>
      <c r="H1630" s="340"/>
      <c r="L1630" s="131"/>
      <c r="M1630" s="131"/>
      <c r="N1630" s="131"/>
      <c r="O1630" s="131"/>
      <c r="P1630" s="131"/>
      <c r="Q1630" s="131"/>
      <c r="R1630" s="131"/>
      <c r="S1630" s="131"/>
      <c r="T1630" s="131"/>
      <c r="U1630" s="131"/>
      <c r="V1630" s="131"/>
      <c r="W1630" s="131"/>
      <c r="X1630" s="131"/>
      <c r="Y1630" s="131"/>
      <c r="Z1630" s="131"/>
      <c r="AA1630" s="131"/>
      <c r="AB1630" s="131"/>
      <c r="AC1630" s="131"/>
    </row>
    <row r="1631" spans="2:29" x14ac:dyDescent="0.2">
      <c r="B1631" s="151"/>
      <c r="C1631" s="152"/>
      <c r="H1631" s="340"/>
      <c r="L1631" s="131"/>
      <c r="M1631" s="131"/>
      <c r="N1631" s="131"/>
      <c r="O1631" s="131"/>
      <c r="P1631" s="131"/>
      <c r="Q1631" s="131"/>
      <c r="R1631" s="131"/>
      <c r="S1631" s="131"/>
      <c r="T1631" s="131"/>
      <c r="U1631" s="131"/>
      <c r="V1631" s="131"/>
      <c r="W1631" s="131"/>
      <c r="X1631" s="131"/>
      <c r="Y1631" s="131"/>
      <c r="Z1631" s="131"/>
      <c r="AA1631" s="131"/>
      <c r="AB1631" s="131"/>
      <c r="AC1631" s="131"/>
    </row>
    <row r="1632" spans="2:29" x14ac:dyDescent="0.2">
      <c r="B1632" s="151"/>
      <c r="C1632" s="152"/>
      <c r="H1632" s="340"/>
      <c r="L1632" s="131"/>
      <c r="M1632" s="131"/>
      <c r="N1632" s="131"/>
      <c r="O1632" s="131"/>
      <c r="P1632" s="131"/>
      <c r="Q1632" s="131"/>
      <c r="R1632" s="131"/>
      <c r="S1632" s="131"/>
      <c r="T1632" s="131"/>
      <c r="U1632" s="131"/>
      <c r="V1632" s="131"/>
      <c r="W1632" s="131"/>
      <c r="X1632" s="131"/>
      <c r="Y1632" s="131"/>
      <c r="Z1632" s="131"/>
      <c r="AA1632" s="131"/>
      <c r="AB1632" s="131"/>
      <c r="AC1632" s="131"/>
    </row>
    <row r="1633" spans="2:29" x14ac:dyDescent="0.2">
      <c r="B1633" s="151"/>
      <c r="C1633" s="152"/>
      <c r="H1633" s="340"/>
      <c r="L1633" s="131"/>
      <c r="M1633" s="131"/>
      <c r="N1633" s="131"/>
      <c r="O1633" s="131"/>
      <c r="P1633" s="131"/>
      <c r="Q1633" s="131"/>
      <c r="R1633" s="131"/>
      <c r="S1633" s="131"/>
      <c r="T1633" s="131"/>
      <c r="U1633" s="131"/>
      <c r="V1633" s="131"/>
      <c r="W1633" s="131"/>
      <c r="X1633" s="131"/>
      <c r="Y1633" s="131"/>
      <c r="Z1633" s="131"/>
      <c r="AA1633" s="131"/>
      <c r="AB1633" s="131"/>
      <c r="AC1633" s="131"/>
    </row>
    <row r="1634" spans="2:29" x14ac:dyDescent="0.2">
      <c r="B1634" s="151"/>
      <c r="C1634" s="152"/>
      <c r="H1634" s="340"/>
      <c r="L1634" s="131"/>
      <c r="M1634" s="131"/>
      <c r="N1634" s="131"/>
      <c r="O1634" s="131"/>
      <c r="P1634" s="131"/>
      <c r="Q1634" s="131"/>
      <c r="R1634" s="131"/>
      <c r="S1634" s="131"/>
      <c r="T1634" s="131"/>
      <c r="U1634" s="131"/>
      <c r="V1634" s="131"/>
      <c r="W1634" s="131"/>
      <c r="X1634" s="131"/>
      <c r="Y1634" s="131"/>
      <c r="Z1634" s="131"/>
      <c r="AA1634" s="131"/>
      <c r="AB1634" s="131"/>
      <c r="AC1634" s="131"/>
    </row>
    <row r="1635" spans="2:29" x14ac:dyDescent="0.2">
      <c r="B1635" s="151"/>
      <c r="C1635" s="152"/>
      <c r="H1635" s="340"/>
      <c r="L1635" s="131"/>
      <c r="M1635" s="131"/>
      <c r="N1635" s="131"/>
      <c r="O1635" s="131"/>
      <c r="P1635" s="131"/>
      <c r="Q1635" s="131"/>
      <c r="R1635" s="131"/>
      <c r="S1635" s="131"/>
      <c r="T1635" s="131"/>
      <c r="U1635" s="131"/>
      <c r="V1635" s="131"/>
      <c r="W1635" s="131"/>
      <c r="X1635" s="131"/>
      <c r="Y1635" s="131"/>
      <c r="Z1635" s="131"/>
      <c r="AA1635" s="131"/>
      <c r="AB1635" s="131"/>
      <c r="AC1635" s="131"/>
    </row>
    <row r="1636" spans="2:29" x14ac:dyDescent="0.2">
      <c r="B1636" s="151"/>
      <c r="C1636" s="152"/>
      <c r="H1636" s="340"/>
      <c r="L1636" s="131"/>
      <c r="M1636" s="131"/>
      <c r="N1636" s="131"/>
      <c r="O1636" s="131"/>
      <c r="P1636" s="131"/>
      <c r="Q1636" s="131"/>
      <c r="R1636" s="131"/>
      <c r="S1636" s="131"/>
      <c r="T1636" s="131"/>
      <c r="U1636" s="131"/>
      <c r="V1636" s="131"/>
      <c r="W1636" s="131"/>
      <c r="X1636" s="131"/>
      <c r="Y1636" s="131"/>
      <c r="Z1636" s="131"/>
      <c r="AA1636" s="131"/>
      <c r="AB1636" s="131"/>
      <c r="AC1636" s="131"/>
    </row>
    <row r="1637" spans="2:29" x14ac:dyDescent="0.2">
      <c r="B1637" s="151"/>
      <c r="C1637" s="152"/>
      <c r="H1637" s="340"/>
      <c r="L1637" s="131"/>
      <c r="M1637" s="131"/>
      <c r="N1637" s="131"/>
      <c r="O1637" s="131"/>
      <c r="P1637" s="131"/>
      <c r="Q1637" s="131"/>
      <c r="R1637" s="131"/>
      <c r="S1637" s="131"/>
      <c r="T1637" s="131"/>
      <c r="U1637" s="131"/>
      <c r="V1637" s="131"/>
      <c r="W1637" s="131"/>
      <c r="X1637" s="131"/>
      <c r="Y1637" s="131"/>
      <c r="Z1637" s="131"/>
      <c r="AA1637" s="131"/>
      <c r="AB1637" s="131"/>
      <c r="AC1637" s="131"/>
    </row>
    <row r="1638" spans="2:29" x14ac:dyDescent="0.2">
      <c r="B1638" s="151"/>
      <c r="C1638" s="152"/>
      <c r="H1638" s="340"/>
      <c r="L1638" s="131"/>
      <c r="M1638" s="131"/>
      <c r="N1638" s="131"/>
      <c r="O1638" s="131"/>
      <c r="P1638" s="131"/>
      <c r="Q1638" s="131"/>
      <c r="R1638" s="131"/>
      <c r="S1638" s="131"/>
      <c r="T1638" s="131"/>
      <c r="U1638" s="131"/>
      <c r="V1638" s="131"/>
      <c r="W1638" s="131"/>
      <c r="X1638" s="131"/>
      <c r="Y1638" s="131"/>
      <c r="Z1638" s="131"/>
      <c r="AA1638" s="131"/>
      <c r="AB1638" s="131"/>
      <c r="AC1638" s="131"/>
    </row>
    <row r="1639" spans="2:29" x14ac:dyDescent="0.2">
      <c r="B1639" s="151"/>
      <c r="C1639" s="152"/>
      <c r="H1639" s="340"/>
      <c r="L1639" s="131"/>
      <c r="M1639" s="131"/>
      <c r="N1639" s="131"/>
      <c r="O1639" s="131"/>
      <c r="P1639" s="131"/>
      <c r="Q1639" s="131"/>
      <c r="R1639" s="131"/>
      <c r="S1639" s="131"/>
      <c r="T1639" s="131"/>
      <c r="U1639" s="131"/>
      <c r="V1639" s="131"/>
      <c r="W1639" s="131"/>
      <c r="X1639" s="131"/>
      <c r="Y1639" s="131"/>
      <c r="Z1639" s="131"/>
      <c r="AA1639" s="131"/>
      <c r="AB1639" s="131"/>
      <c r="AC1639" s="131"/>
    </row>
    <row r="1640" spans="2:29" x14ac:dyDescent="0.2">
      <c r="B1640" s="151"/>
      <c r="C1640" s="152"/>
      <c r="H1640" s="340"/>
      <c r="L1640" s="131"/>
      <c r="M1640" s="131"/>
      <c r="N1640" s="131"/>
      <c r="O1640" s="131"/>
      <c r="P1640" s="131"/>
      <c r="Q1640" s="131"/>
      <c r="R1640" s="131"/>
      <c r="S1640" s="131"/>
      <c r="T1640" s="131"/>
      <c r="U1640" s="131"/>
      <c r="V1640" s="131"/>
      <c r="W1640" s="131"/>
      <c r="X1640" s="131"/>
      <c r="Y1640" s="131"/>
      <c r="Z1640" s="131"/>
      <c r="AA1640" s="131"/>
      <c r="AB1640" s="131"/>
      <c r="AC1640" s="131"/>
    </row>
    <row r="1641" spans="2:29" x14ac:dyDescent="0.2">
      <c r="B1641" s="151"/>
      <c r="C1641" s="152"/>
      <c r="H1641" s="340"/>
      <c r="L1641" s="131"/>
      <c r="M1641" s="131"/>
      <c r="N1641" s="131"/>
      <c r="O1641" s="131"/>
      <c r="P1641" s="131"/>
      <c r="Q1641" s="131"/>
      <c r="R1641" s="131"/>
      <c r="S1641" s="131"/>
      <c r="T1641" s="131"/>
      <c r="U1641" s="131"/>
      <c r="V1641" s="131"/>
      <c r="W1641" s="131"/>
      <c r="X1641" s="131"/>
      <c r="Y1641" s="131"/>
      <c r="Z1641" s="131"/>
      <c r="AA1641" s="131"/>
      <c r="AB1641" s="131"/>
      <c r="AC1641" s="131"/>
    </row>
    <row r="1642" spans="2:29" x14ac:dyDescent="0.2">
      <c r="B1642" s="151"/>
      <c r="C1642" s="152"/>
      <c r="H1642" s="340"/>
      <c r="L1642" s="131"/>
      <c r="M1642" s="131"/>
      <c r="N1642" s="131"/>
      <c r="O1642" s="131"/>
      <c r="P1642" s="131"/>
      <c r="Q1642" s="131"/>
      <c r="R1642" s="131"/>
      <c r="S1642" s="131"/>
      <c r="T1642" s="131"/>
      <c r="U1642" s="131"/>
      <c r="V1642" s="131"/>
      <c r="W1642" s="131"/>
      <c r="X1642" s="131"/>
      <c r="Y1642" s="131"/>
      <c r="Z1642" s="131"/>
      <c r="AA1642" s="131"/>
      <c r="AB1642" s="131"/>
      <c r="AC1642" s="131"/>
    </row>
    <row r="1643" spans="2:29" x14ac:dyDescent="0.2">
      <c r="B1643" s="151"/>
      <c r="C1643" s="152"/>
      <c r="H1643" s="340"/>
      <c r="L1643" s="131"/>
      <c r="M1643" s="131"/>
      <c r="N1643" s="131"/>
      <c r="O1643" s="131"/>
      <c r="P1643" s="131"/>
      <c r="Q1643" s="131"/>
      <c r="R1643" s="131"/>
      <c r="S1643" s="131"/>
      <c r="T1643" s="131"/>
      <c r="U1643" s="131"/>
      <c r="V1643" s="131"/>
      <c r="W1643" s="131"/>
      <c r="X1643" s="131"/>
      <c r="Y1643" s="131"/>
      <c r="Z1643" s="131"/>
      <c r="AA1643" s="131"/>
      <c r="AB1643" s="131"/>
      <c r="AC1643" s="131"/>
    </row>
    <row r="1644" spans="2:29" x14ac:dyDescent="0.2">
      <c r="B1644" s="151"/>
      <c r="C1644" s="152"/>
      <c r="H1644" s="340"/>
      <c r="L1644" s="131"/>
      <c r="M1644" s="131"/>
      <c r="N1644" s="131"/>
      <c r="O1644" s="131"/>
      <c r="P1644" s="131"/>
      <c r="Q1644" s="131"/>
      <c r="R1644" s="131"/>
      <c r="S1644" s="131"/>
      <c r="T1644" s="131"/>
      <c r="U1644" s="131"/>
      <c r="V1644" s="131"/>
      <c r="W1644" s="131"/>
      <c r="X1644" s="131"/>
      <c r="Y1644" s="131"/>
      <c r="Z1644" s="131"/>
      <c r="AA1644" s="131"/>
      <c r="AB1644" s="131"/>
      <c r="AC1644" s="131"/>
    </row>
    <row r="1645" spans="2:29" x14ac:dyDescent="0.2">
      <c r="B1645" s="151"/>
      <c r="C1645" s="152"/>
      <c r="H1645" s="340"/>
      <c r="L1645" s="131"/>
      <c r="M1645" s="131"/>
      <c r="N1645" s="131"/>
      <c r="O1645" s="131"/>
      <c r="P1645" s="131"/>
      <c r="Q1645" s="131"/>
      <c r="R1645" s="131"/>
      <c r="S1645" s="131"/>
      <c r="T1645" s="131"/>
      <c r="U1645" s="131"/>
      <c r="V1645" s="131"/>
      <c r="W1645" s="131"/>
      <c r="X1645" s="131"/>
      <c r="Y1645" s="131"/>
      <c r="Z1645" s="131"/>
      <c r="AA1645" s="131"/>
      <c r="AB1645" s="131"/>
      <c r="AC1645" s="131"/>
    </row>
    <row r="1646" spans="2:29" x14ac:dyDescent="0.2">
      <c r="B1646" s="151"/>
      <c r="C1646" s="152"/>
      <c r="H1646" s="340"/>
      <c r="L1646" s="131"/>
      <c r="M1646" s="131"/>
      <c r="N1646" s="131"/>
      <c r="O1646" s="131"/>
      <c r="P1646" s="131"/>
      <c r="Q1646" s="131"/>
      <c r="R1646" s="131"/>
      <c r="S1646" s="131"/>
      <c r="T1646" s="131"/>
      <c r="U1646" s="131"/>
      <c r="V1646" s="131"/>
      <c r="W1646" s="131"/>
      <c r="X1646" s="131"/>
      <c r="Y1646" s="131"/>
      <c r="Z1646" s="131"/>
      <c r="AA1646" s="131"/>
      <c r="AB1646" s="131"/>
      <c r="AC1646" s="131"/>
    </row>
    <row r="1647" spans="2:29" x14ac:dyDescent="0.2">
      <c r="B1647" s="151"/>
      <c r="C1647" s="152"/>
      <c r="H1647" s="340"/>
      <c r="L1647" s="131"/>
      <c r="M1647" s="131"/>
      <c r="N1647" s="131"/>
      <c r="O1647" s="131"/>
      <c r="P1647" s="131"/>
      <c r="Q1647" s="131"/>
      <c r="R1647" s="131"/>
      <c r="S1647" s="131"/>
      <c r="T1647" s="131"/>
      <c r="U1647" s="131"/>
      <c r="V1647" s="131"/>
      <c r="W1647" s="131"/>
      <c r="X1647" s="131"/>
      <c r="Y1647" s="131"/>
      <c r="Z1647" s="131"/>
      <c r="AA1647" s="131"/>
      <c r="AB1647" s="131"/>
      <c r="AC1647" s="131"/>
    </row>
    <row r="1648" spans="2:29" x14ac:dyDescent="0.2">
      <c r="B1648" s="151"/>
      <c r="C1648" s="152"/>
      <c r="H1648" s="340"/>
      <c r="L1648" s="131"/>
      <c r="M1648" s="131"/>
      <c r="N1648" s="131"/>
      <c r="O1648" s="131"/>
      <c r="P1648" s="131"/>
      <c r="Q1648" s="131"/>
      <c r="R1648" s="131"/>
      <c r="S1648" s="131"/>
      <c r="T1648" s="131"/>
      <c r="U1648" s="131"/>
      <c r="V1648" s="131"/>
      <c r="W1648" s="131"/>
      <c r="X1648" s="131"/>
      <c r="Y1648" s="131"/>
      <c r="Z1648" s="131"/>
      <c r="AA1648" s="131"/>
      <c r="AB1648" s="131"/>
      <c r="AC1648" s="131"/>
    </row>
    <row r="1649" spans="2:29" x14ac:dyDescent="0.2">
      <c r="B1649" s="151"/>
      <c r="C1649" s="152"/>
      <c r="H1649" s="340"/>
      <c r="L1649" s="131"/>
      <c r="M1649" s="131"/>
      <c r="N1649" s="131"/>
      <c r="O1649" s="131"/>
      <c r="P1649" s="131"/>
      <c r="Q1649" s="131"/>
      <c r="R1649" s="131"/>
      <c r="S1649" s="131"/>
      <c r="T1649" s="131"/>
      <c r="U1649" s="131"/>
      <c r="V1649" s="131"/>
      <c r="W1649" s="131"/>
      <c r="X1649" s="131"/>
      <c r="Y1649" s="131"/>
      <c r="Z1649" s="131"/>
      <c r="AA1649" s="131"/>
      <c r="AB1649" s="131"/>
      <c r="AC1649" s="131"/>
    </row>
    <row r="1650" spans="2:29" x14ac:dyDescent="0.2">
      <c r="B1650" s="151"/>
      <c r="C1650" s="152"/>
      <c r="H1650" s="340"/>
      <c r="L1650" s="131"/>
      <c r="M1650" s="131"/>
      <c r="N1650" s="131"/>
      <c r="O1650" s="131"/>
      <c r="P1650" s="131"/>
      <c r="Q1650" s="131"/>
      <c r="R1650" s="131"/>
      <c r="S1650" s="131"/>
      <c r="T1650" s="131"/>
      <c r="U1650" s="131"/>
      <c r="V1650" s="131"/>
      <c r="W1650" s="131"/>
      <c r="X1650" s="131"/>
      <c r="Y1650" s="131"/>
      <c r="Z1650" s="131"/>
      <c r="AA1650" s="131"/>
      <c r="AB1650" s="131"/>
      <c r="AC1650" s="131"/>
    </row>
    <row r="1651" spans="2:29" x14ac:dyDescent="0.2">
      <c r="B1651" s="151"/>
      <c r="C1651" s="152"/>
      <c r="H1651" s="340"/>
      <c r="L1651" s="131"/>
      <c r="M1651" s="131"/>
      <c r="N1651" s="131"/>
      <c r="O1651" s="131"/>
      <c r="P1651" s="131"/>
      <c r="Q1651" s="131"/>
      <c r="R1651" s="131"/>
      <c r="S1651" s="131"/>
      <c r="T1651" s="131"/>
      <c r="U1651" s="131"/>
      <c r="V1651" s="131"/>
      <c r="W1651" s="131"/>
      <c r="X1651" s="131"/>
      <c r="Y1651" s="131"/>
      <c r="Z1651" s="131"/>
      <c r="AA1651" s="131"/>
      <c r="AB1651" s="131"/>
      <c r="AC1651" s="131"/>
    </row>
    <row r="1652" spans="2:29" x14ac:dyDescent="0.2">
      <c r="B1652" s="151"/>
      <c r="C1652" s="152"/>
      <c r="H1652" s="340"/>
      <c r="L1652" s="131"/>
      <c r="M1652" s="131"/>
      <c r="N1652" s="131"/>
      <c r="O1652" s="131"/>
      <c r="P1652" s="131"/>
      <c r="Q1652" s="131"/>
      <c r="R1652" s="131"/>
      <c r="S1652" s="131"/>
      <c r="T1652" s="131"/>
      <c r="U1652" s="131"/>
      <c r="V1652" s="131"/>
      <c r="W1652" s="131"/>
      <c r="X1652" s="131"/>
      <c r="Y1652" s="131"/>
      <c r="Z1652" s="131"/>
      <c r="AA1652" s="131"/>
      <c r="AB1652" s="131"/>
      <c r="AC1652" s="131"/>
    </row>
    <row r="1653" spans="2:29" x14ac:dyDescent="0.2">
      <c r="B1653" s="151"/>
      <c r="C1653" s="152"/>
      <c r="H1653" s="340"/>
      <c r="L1653" s="131"/>
      <c r="M1653" s="131"/>
      <c r="N1653" s="131"/>
      <c r="O1653" s="131"/>
      <c r="P1653" s="131"/>
      <c r="Q1653" s="131"/>
      <c r="R1653" s="131"/>
      <c r="S1653" s="131"/>
      <c r="T1653" s="131"/>
      <c r="U1653" s="131"/>
      <c r="V1653" s="131"/>
      <c r="W1653" s="131"/>
      <c r="X1653" s="131"/>
      <c r="Y1653" s="131"/>
      <c r="Z1653" s="131"/>
      <c r="AA1653" s="131"/>
      <c r="AB1653" s="131"/>
      <c r="AC1653" s="131"/>
    </row>
    <row r="1654" spans="2:29" x14ac:dyDescent="0.2">
      <c r="B1654" s="151"/>
      <c r="C1654" s="152"/>
      <c r="H1654" s="340"/>
      <c r="L1654" s="131"/>
      <c r="M1654" s="131"/>
      <c r="N1654" s="131"/>
      <c r="O1654" s="131"/>
      <c r="P1654" s="131"/>
      <c r="Q1654" s="131"/>
      <c r="R1654" s="131"/>
      <c r="S1654" s="131"/>
      <c r="T1654" s="131"/>
      <c r="U1654" s="131"/>
      <c r="V1654" s="131"/>
      <c r="W1654" s="131"/>
      <c r="X1654" s="131"/>
      <c r="Y1654" s="131"/>
      <c r="Z1654" s="131"/>
      <c r="AA1654" s="131"/>
      <c r="AB1654" s="131"/>
      <c r="AC1654" s="131"/>
    </row>
    <row r="1655" spans="2:29" x14ac:dyDescent="0.2">
      <c r="B1655" s="151"/>
      <c r="C1655" s="152"/>
      <c r="H1655" s="340"/>
      <c r="L1655" s="131"/>
      <c r="M1655" s="131"/>
      <c r="N1655" s="131"/>
      <c r="O1655" s="131"/>
      <c r="P1655" s="131"/>
      <c r="Q1655" s="131"/>
      <c r="R1655" s="131"/>
      <c r="S1655" s="131"/>
      <c r="T1655" s="131"/>
      <c r="U1655" s="131"/>
      <c r="V1655" s="131"/>
      <c r="W1655" s="131"/>
      <c r="X1655" s="131"/>
      <c r="Y1655" s="131"/>
      <c r="Z1655" s="131"/>
      <c r="AA1655" s="131"/>
      <c r="AB1655" s="131"/>
      <c r="AC1655" s="131"/>
    </row>
    <row r="1656" spans="2:29" x14ac:dyDescent="0.2">
      <c r="B1656" s="151"/>
      <c r="C1656" s="152"/>
      <c r="H1656" s="340"/>
      <c r="L1656" s="131"/>
      <c r="M1656" s="131"/>
      <c r="N1656" s="131"/>
      <c r="O1656" s="131"/>
      <c r="P1656" s="131"/>
      <c r="Q1656" s="131"/>
      <c r="R1656" s="131"/>
      <c r="S1656" s="131"/>
      <c r="T1656" s="131"/>
      <c r="U1656" s="131"/>
      <c r="V1656" s="131"/>
      <c r="W1656" s="131"/>
      <c r="X1656" s="131"/>
      <c r="Y1656" s="131"/>
      <c r="Z1656" s="131"/>
      <c r="AA1656" s="131"/>
      <c r="AB1656" s="131"/>
      <c r="AC1656" s="131"/>
    </row>
    <row r="1657" spans="2:29" x14ac:dyDescent="0.2">
      <c r="B1657" s="151"/>
      <c r="C1657" s="152"/>
      <c r="H1657" s="340"/>
      <c r="L1657" s="131"/>
      <c r="M1657" s="131"/>
      <c r="N1657" s="131"/>
      <c r="O1657" s="131"/>
      <c r="P1657" s="131"/>
      <c r="Q1657" s="131"/>
      <c r="R1657" s="131"/>
      <c r="S1657" s="131"/>
      <c r="T1657" s="131"/>
      <c r="U1657" s="131"/>
      <c r="V1657" s="131"/>
      <c r="W1657" s="131"/>
      <c r="X1657" s="131"/>
      <c r="Y1657" s="131"/>
      <c r="Z1657" s="131"/>
      <c r="AA1657" s="131"/>
      <c r="AB1657" s="131"/>
      <c r="AC1657" s="131"/>
    </row>
    <row r="1658" spans="2:29" x14ac:dyDescent="0.2">
      <c r="B1658" s="151"/>
      <c r="C1658" s="152"/>
      <c r="H1658" s="340"/>
      <c r="L1658" s="131"/>
      <c r="M1658" s="131"/>
      <c r="N1658" s="131"/>
      <c r="O1658" s="131"/>
      <c r="P1658" s="131"/>
      <c r="Q1658" s="131"/>
      <c r="R1658" s="131"/>
      <c r="S1658" s="131"/>
      <c r="T1658" s="131"/>
      <c r="U1658" s="131"/>
      <c r="V1658" s="131"/>
      <c r="W1658" s="131"/>
      <c r="X1658" s="131"/>
      <c r="Y1658" s="131"/>
      <c r="Z1658" s="131"/>
      <c r="AA1658" s="131"/>
      <c r="AB1658" s="131"/>
      <c r="AC1658" s="131"/>
    </row>
    <row r="1659" spans="2:29" x14ac:dyDescent="0.2">
      <c r="B1659" s="151"/>
      <c r="C1659" s="152"/>
      <c r="H1659" s="340"/>
      <c r="L1659" s="131"/>
      <c r="M1659" s="131"/>
      <c r="N1659" s="131"/>
      <c r="O1659" s="131"/>
      <c r="P1659" s="131"/>
      <c r="Q1659" s="131"/>
      <c r="R1659" s="131"/>
      <c r="S1659" s="131"/>
      <c r="T1659" s="131"/>
      <c r="U1659" s="131"/>
      <c r="V1659" s="131"/>
      <c r="W1659" s="131"/>
      <c r="X1659" s="131"/>
      <c r="Y1659" s="131"/>
      <c r="Z1659" s="131"/>
      <c r="AA1659" s="131"/>
      <c r="AB1659" s="131"/>
      <c r="AC1659" s="131"/>
    </row>
    <row r="1660" spans="2:29" x14ac:dyDescent="0.2">
      <c r="B1660" s="151"/>
      <c r="C1660" s="152"/>
      <c r="H1660" s="340"/>
      <c r="L1660" s="131"/>
      <c r="M1660" s="131"/>
      <c r="N1660" s="131"/>
      <c r="O1660" s="131"/>
      <c r="P1660" s="131"/>
      <c r="Q1660" s="131"/>
      <c r="R1660" s="131"/>
      <c r="S1660" s="131"/>
      <c r="T1660" s="131"/>
      <c r="U1660" s="131"/>
      <c r="V1660" s="131"/>
      <c r="W1660" s="131"/>
      <c r="X1660" s="131"/>
      <c r="Y1660" s="131"/>
      <c r="Z1660" s="131"/>
      <c r="AA1660" s="131"/>
      <c r="AB1660" s="131"/>
      <c r="AC1660" s="131"/>
    </row>
    <row r="1661" spans="2:29" x14ac:dyDescent="0.2">
      <c r="B1661" s="151"/>
      <c r="C1661" s="152"/>
      <c r="H1661" s="340"/>
      <c r="L1661" s="131"/>
      <c r="M1661" s="131"/>
      <c r="N1661" s="131"/>
      <c r="O1661" s="131"/>
      <c r="P1661" s="131"/>
      <c r="Q1661" s="131"/>
      <c r="R1661" s="131"/>
      <c r="S1661" s="131"/>
      <c r="T1661" s="131"/>
      <c r="U1661" s="131"/>
      <c r="V1661" s="131"/>
      <c r="W1661" s="131"/>
      <c r="X1661" s="131"/>
      <c r="Y1661" s="131"/>
      <c r="Z1661" s="131"/>
      <c r="AA1661" s="131"/>
      <c r="AB1661" s="131"/>
      <c r="AC1661" s="131"/>
    </row>
    <row r="1662" spans="2:29" x14ac:dyDescent="0.2">
      <c r="B1662" s="151"/>
      <c r="C1662" s="152"/>
      <c r="H1662" s="340"/>
      <c r="L1662" s="131"/>
      <c r="M1662" s="131"/>
      <c r="N1662" s="131"/>
      <c r="O1662" s="131"/>
      <c r="P1662" s="131"/>
      <c r="Q1662" s="131"/>
      <c r="R1662" s="131"/>
      <c r="S1662" s="131"/>
      <c r="T1662" s="131"/>
      <c r="U1662" s="131"/>
      <c r="V1662" s="131"/>
      <c r="W1662" s="131"/>
      <c r="X1662" s="131"/>
      <c r="Y1662" s="131"/>
      <c r="Z1662" s="131"/>
      <c r="AA1662" s="131"/>
      <c r="AB1662" s="131"/>
      <c r="AC1662" s="131"/>
    </row>
    <row r="1663" spans="2:29" x14ac:dyDescent="0.2">
      <c r="B1663" s="151"/>
      <c r="C1663" s="152"/>
      <c r="H1663" s="340"/>
      <c r="L1663" s="131"/>
      <c r="M1663" s="131"/>
      <c r="N1663" s="131"/>
      <c r="O1663" s="131"/>
      <c r="P1663" s="131"/>
      <c r="Q1663" s="131"/>
      <c r="R1663" s="131"/>
      <c r="S1663" s="131"/>
      <c r="T1663" s="131"/>
      <c r="U1663" s="131"/>
      <c r="V1663" s="131"/>
      <c r="W1663" s="131"/>
      <c r="X1663" s="131"/>
      <c r="Y1663" s="131"/>
      <c r="Z1663" s="131"/>
      <c r="AA1663" s="131"/>
      <c r="AB1663" s="131"/>
      <c r="AC1663" s="131"/>
    </row>
    <row r="1664" spans="2:29" x14ac:dyDescent="0.2">
      <c r="B1664" s="151"/>
      <c r="C1664" s="152"/>
      <c r="H1664" s="340"/>
      <c r="L1664" s="131"/>
      <c r="M1664" s="131"/>
      <c r="N1664" s="131"/>
      <c r="O1664" s="131"/>
      <c r="P1664" s="131"/>
      <c r="Q1664" s="131"/>
      <c r="R1664" s="131"/>
      <c r="S1664" s="131"/>
      <c r="T1664" s="131"/>
      <c r="U1664" s="131"/>
      <c r="V1664" s="131"/>
      <c r="W1664" s="131"/>
      <c r="X1664" s="131"/>
      <c r="Y1664" s="131"/>
      <c r="Z1664" s="131"/>
      <c r="AA1664" s="131"/>
      <c r="AB1664" s="131"/>
      <c r="AC1664" s="131"/>
    </row>
    <row r="1665" spans="2:29" x14ac:dyDescent="0.2">
      <c r="B1665" s="151"/>
      <c r="C1665" s="152"/>
      <c r="H1665" s="340"/>
      <c r="L1665" s="131"/>
      <c r="M1665" s="131"/>
      <c r="N1665" s="131"/>
      <c r="O1665" s="131"/>
      <c r="P1665" s="131"/>
      <c r="Q1665" s="131"/>
      <c r="R1665" s="131"/>
      <c r="S1665" s="131"/>
      <c r="T1665" s="131"/>
      <c r="U1665" s="131"/>
      <c r="V1665" s="131"/>
      <c r="W1665" s="131"/>
      <c r="X1665" s="131"/>
      <c r="Y1665" s="131"/>
      <c r="Z1665" s="131"/>
      <c r="AA1665" s="131"/>
      <c r="AB1665" s="131"/>
      <c r="AC1665" s="131"/>
    </row>
    <row r="1666" spans="2:29" x14ac:dyDescent="0.2">
      <c r="B1666" s="151"/>
      <c r="C1666" s="152"/>
      <c r="H1666" s="340"/>
      <c r="L1666" s="131"/>
      <c r="M1666" s="131"/>
      <c r="N1666" s="131"/>
      <c r="O1666" s="131"/>
      <c r="P1666" s="131"/>
      <c r="Q1666" s="131"/>
      <c r="R1666" s="131"/>
      <c r="S1666" s="131"/>
      <c r="T1666" s="131"/>
      <c r="U1666" s="131"/>
      <c r="V1666" s="131"/>
      <c r="W1666" s="131"/>
      <c r="X1666" s="131"/>
      <c r="Y1666" s="131"/>
      <c r="Z1666" s="131"/>
      <c r="AA1666" s="131"/>
      <c r="AB1666" s="131"/>
      <c r="AC1666" s="131"/>
    </row>
    <row r="1667" spans="2:29" x14ac:dyDescent="0.2">
      <c r="B1667" s="151"/>
      <c r="C1667" s="152"/>
      <c r="H1667" s="340"/>
      <c r="L1667" s="131"/>
      <c r="M1667" s="131"/>
      <c r="N1667" s="131"/>
      <c r="O1667" s="131"/>
      <c r="P1667" s="131"/>
      <c r="Q1667" s="131"/>
      <c r="R1667" s="131"/>
      <c r="S1667" s="131"/>
      <c r="T1667" s="131"/>
      <c r="U1667" s="131"/>
      <c r="V1667" s="131"/>
      <c r="W1667" s="131"/>
      <c r="X1667" s="131"/>
      <c r="Y1667" s="131"/>
      <c r="Z1667" s="131"/>
      <c r="AA1667" s="131"/>
      <c r="AB1667" s="131"/>
      <c r="AC1667" s="131"/>
    </row>
    <row r="1668" spans="2:29" x14ac:dyDescent="0.2">
      <c r="B1668" s="151"/>
      <c r="C1668" s="152"/>
      <c r="H1668" s="340"/>
      <c r="L1668" s="131"/>
      <c r="M1668" s="131"/>
      <c r="N1668" s="131"/>
      <c r="O1668" s="131"/>
      <c r="P1668" s="131"/>
      <c r="Q1668" s="131"/>
      <c r="R1668" s="131"/>
      <c r="S1668" s="131"/>
      <c r="T1668" s="131"/>
      <c r="U1668" s="131"/>
      <c r="V1668" s="131"/>
      <c r="W1668" s="131"/>
      <c r="X1668" s="131"/>
      <c r="Y1668" s="131"/>
      <c r="Z1668" s="131"/>
      <c r="AA1668" s="131"/>
      <c r="AB1668" s="131"/>
      <c r="AC1668" s="131"/>
    </row>
    <row r="1669" spans="2:29" x14ac:dyDescent="0.2">
      <c r="B1669" s="151"/>
      <c r="C1669" s="152"/>
      <c r="H1669" s="340"/>
      <c r="L1669" s="131"/>
      <c r="M1669" s="131"/>
      <c r="N1669" s="131"/>
      <c r="O1669" s="131"/>
      <c r="P1669" s="131"/>
      <c r="Q1669" s="131"/>
      <c r="R1669" s="131"/>
      <c r="S1669" s="131"/>
      <c r="T1669" s="131"/>
      <c r="U1669" s="131"/>
      <c r="V1669" s="131"/>
      <c r="W1669" s="131"/>
      <c r="X1669" s="131"/>
      <c r="Y1669" s="131"/>
      <c r="Z1669" s="131"/>
      <c r="AA1669" s="131"/>
      <c r="AB1669" s="131"/>
      <c r="AC1669" s="131"/>
    </row>
    <row r="1670" spans="2:29" x14ac:dyDescent="0.2">
      <c r="B1670" s="151"/>
      <c r="C1670" s="152"/>
      <c r="H1670" s="340"/>
      <c r="L1670" s="131"/>
      <c r="M1670" s="131"/>
      <c r="N1670" s="131"/>
      <c r="O1670" s="131"/>
      <c r="P1670" s="131"/>
      <c r="Q1670" s="131"/>
      <c r="R1670" s="131"/>
      <c r="S1670" s="131"/>
      <c r="T1670" s="131"/>
      <c r="U1670" s="131"/>
      <c r="V1670" s="131"/>
      <c r="W1670" s="131"/>
      <c r="X1670" s="131"/>
      <c r="Y1670" s="131"/>
      <c r="Z1670" s="131"/>
      <c r="AA1670" s="131"/>
      <c r="AB1670" s="131"/>
      <c r="AC1670" s="131"/>
    </row>
    <row r="1671" spans="2:29" x14ac:dyDescent="0.2">
      <c r="B1671" s="151"/>
      <c r="C1671" s="152"/>
      <c r="H1671" s="340"/>
      <c r="L1671" s="131"/>
      <c r="M1671" s="131"/>
      <c r="N1671" s="131"/>
      <c r="O1671" s="131"/>
      <c r="P1671" s="131"/>
      <c r="Q1671" s="131"/>
      <c r="R1671" s="131"/>
      <c r="S1671" s="131"/>
      <c r="T1671" s="131"/>
      <c r="U1671" s="131"/>
      <c r="V1671" s="131"/>
      <c r="W1671" s="131"/>
      <c r="X1671" s="131"/>
      <c r="Y1671" s="131"/>
      <c r="Z1671" s="131"/>
      <c r="AA1671" s="131"/>
      <c r="AB1671" s="131"/>
      <c r="AC1671" s="131"/>
    </row>
    <row r="1672" spans="2:29" x14ac:dyDescent="0.2">
      <c r="B1672" s="151"/>
      <c r="C1672" s="152"/>
      <c r="H1672" s="340"/>
      <c r="L1672" s="131"/>
      <c r="M1672" s="131"/>
      <c r="N1672" s="131"/>
      <c r="O1672" s="131"/>
      <c r="P1672" s="131"/>
      <c r="Q1672" s="131"/>
      <c r="R1672" s="131"/>
      <c r="S1672" s="131"/>
      <c r="T1672" s="131"/>
      <c r="U1672" s="131"/>
      <c r="V1672" s="131"/>
      <c r="W1672" s="131"/>
      <c r="X1672" s="131"/>
      <c r="Y1672" s="131"/>
      <c r="Z1672" s="131"/>
      <c r="AA1672" s="131"/>
      <c r="AB1672" s="131"/>
      <c r="AC1672" s="131"/>
    </row>
    <row r="1673" spans="2:29" x14ac:dyDescent="0.2">
      <c r="B1673" s="151"/>
      <c r="C1673" s="152"/>
      <c r="H1673" s="340"/>
      <c r="L1673" s="131"/>
      <c r="M1673" s="131"/>
      <c r="N1673" s="131"/>
      <c r="O1673" s="131"/>
      <c r="P1673" s="131"/>
      <c r="Q1673" s="131"/>
      <c r="R1673" s="131"/>
      <c r="S1673" s="131"/>
      <c r="T1673" s="131"/>
      <c r="U1673" s="131"/>
      <c r="V1673" s="131"/>
      <c r="W1673" s="131"/>
      <c r="X1673" s="131"/>
      <c r="Y1673" s="131"/>
      <c r="Z1673" s="131"/>
      <c r="AA1673" s="131"/>
      <c r="AB1673" s="131"/>
      <c r="AC1673" s="131"/>
    </row>
    <row r="1674" spans="2:29" x14ac:dyDescent="0.2">
      <c r="B1674" s="151"/>
      <c r="C1674" s="152"/>
      <c r="H1674" s="340"/>
      <c r="L1674" s="131"/>
      <c r="M1674" s="131"/>
      <c r="N1674" s="131"/>
      <c r="O1674" s="131"/>
      <c r="P1674" s="131"/>
      <c r="Q1674" s="131"/>
      <c r="R1674" s="131"/>
      <c r="S1674" s="131"/>
      <c r="T1674" s="131"/>
      <c r="U1674" s="131"/>
      <c r="V1674" s="131"/>
      <c r="W1674" s="131"/>
      <c r="X1674" s="131"/>
      <c r="Y1674" s="131"/>
      <c r="Z1674" s="131"/>
      <c r="AA1674" s="131"/>
      <c r="AB1674" s="131"/>
      <c r="AC1674" s="131"/>
    </row>
    <row r="1675" spans="2:29" x14ac:dyDescent="0.2">
      <c r="B1675" s="151"/>
      <c r="C1675" s="152"/>
      <c r="H1675" s="340"/>
      <c r="L1675" s="131"/>
      <c r="M1675" s="131"/>
      <c r="N1675" s="131"/>
      <c r="O1675" s="131"/>
      <c r="P1675" s="131"/>
      <c r="Q1675" s="131"/>
      <c r="R1675" s="131"/>
      <c r="S1675" s="131"/>
      <c r="T1675" s="131"/>
      <c r="U1675" s="131"/>
      <c r="V1675" s="131"/>
      <c r="W1675" s="131"/>
      <c r="X1675" s="131"/>
      <c r="Y1675" s="131"/>
      <c r="Z1675" s="131"/>
      <c r="AA1675" s="131"/>
      <c r="AB1675" s="131"/>
      <c r="AC1675" s="131"/>
    </row>
    <row r="1676" spans="2:29" x14ac:dyDescent="0.2">
      <c r="B1676" s="151"/>
      <c r="C1676" s="152"/>
      <c r="H1676" s="340"/>
      <c r="L1676" s="131"/>
      <c r="M1676" s="131"/>
      <c r="N1676" s="131"/>
      <c r="O1676" s="131"/>
      <c r="P1676" s="131"/>
      <c r="Q1676" s="131"/>
      <c r="R1676" s="131"/>
      <c r="S1676" s="131"/>
      <c r="T1676" s="131"/>
      <c r="U1676" s="131"/>
      <c r="V1676" s="131"/>
      <c r="W1676" s="131"/>
      <c r="X1676" s="131"/>
      <c r="Y1676" s="131"/>
      <c r="Z1676" s="131"/>
      <c r="AA1676" s="131"/>
      <c r="AB1676" s="131"/>
      <c r="AC1676" s="131"/>
    </row>
    <row r="1677" spans="2:29" x14ac:dyDescent="0.2">
      <c r="B1677" s="151"/>
      <c r="C1677" s="152"/>
      <c r="H1677" s="340"/>
      <c r="L1677" s="131"/>
      <c r="M1677" s="131"/>
      <c r="N1677" s="131"/>
      <c r="O1677" s="131"/>
      <c r="P1677" s="131"/>
      <c r="Q1677" s="131"/>
      <c r="R1677" s="131"/>
      <c r="S1677" s="131"/>
      <c r="T1677" s="131"/>
      <c r="U1677" s="131"/>
      <c r="V1677" s="131"/>
      <c r="W1677" s="131"/>
      <c r="X1677" s="131"/>
      <c r="Y1677" s="131"/>
      <c r="Z1677" s="131"/>
      <c r="AA1677" s="131"/>
      <c r="AB1677" s="131"/>
      <c r="AC1677" s="131"/>
    </row>
    <row r="1678" spans="2:29" x14ac:dyDescent="0.2">
      <c r="B1678" s="151"/>
      <c r="C1678" s="152"/>
      <c r="H1678" s="340"/>
      <c r="L1678" s="131"/>
      <c r="M1678" s="131"/>
      <c r="N1678" s="131"/>
      <c r="O1678" s="131"/>
      <c r="P1678" s="131"/>
      <c r="Q1678" s="131"/>
      <c r="R1678" s="131"/>
      <c r="S1678" s="131"/>
      <c r="T1678" s="131"/>
      <c r="U1678" s="131"/>
      <c r="V1678" s="131"/>
      <c r="W1678" s="131"/>
      <c r="X1678" s="131"/>
      <c r="Y1678" s="131"/>
      <c r="Z1678" s="131"/>
      <c r="AA1678" s="131"/>
      <c r="AB1678" s="131"/>
      <c r="AC1678" s="131"/>
    </row>
    <row r="1679" spans="2:29" x14ac:dyDescent="0.2">
      <c r="B1679" s="151"/>
      <c r="C1679" s="152"/>
      <c r="H1679" s="340"/>
      <c r="L1679" s="131"/>
      <c r="M1679" s="131"/>
      <c r="N1679" s="131"/>
      <c r="O1679" s="131"/>
      <c r="P1679" s="131"/>
      <c r="Q1679" s="131"/>
      <c r="R1679" s="131"/>
      <c r="S1679" s="131"/>
      <c r="T1679" s="131"/>
      <c r="U1679" s="131"/>
      <c r="V1679" s="131"/>
      <c r="W1679" s="131"/>
      <c r="X1679" s="131"/>
      <c r="Y1679" s="131"/>
      <c r="Z1679" s="131"/>
      <c r="AA1679" s="131"/>
      <c r="AB1679" s="131"/>
      <c r="AC1679" s="131"/>
    </row>
    <row r="1680" spans="2:29" x14ac:dyDescent="0.2">
      <c r="B1680" s="151"/>
      <c r="C1680" s="152"/>
      <c r="H1680" s="340"/>
      <c r="L1680" s="131"/>
      <c r="M1680" s="131"/>
      <c r="N1680" s="131"/>
      <c r="O1680" s="131"/>
      <c r="P1680" s="131"/>
      <c r="Q1680" s="131"/>
      <c r="R1680" s="131"/>
      <c r="S1680" s="131"/>
      <c r="T1680" s="131"/>
      <c r="U1680" s="131"/>
      <c r="V1680" s="131"/>
      <c r="W1680" s="131"/>
      <c r="X1680" s="131"/>
      <c r="Y1680" s="131"/>
      <c r="Z1680" s="131"/>
      <c r="AA1680" s="131"/>
      <c r="AB1680" s="131"/>
      <c r="AC1680" s="131"/>
    </row>
    <row r="1681" spans="2:29" x14ac:dyDescent="0.2">
      <c r="B1681" s="151"/>
      <c r="C1681" s="152"/>
      <c r="H1681" s="340"/>
      <c r="L1681" s="131"/>
      <c r="M1681" s="131"/>
      <c r="N1681" s="131"/>
      <c r="O1681" s="131"/>
      <c r="P1681" s="131"/>
      <c r="Q1681" s="131"/>
      <c r="R1681" s="131"/>
      <c r="S1681" s="131"/>
      <c r="T1681" s="131"/>
      <c r="U1681" s="131"/>
      <c r="V1681" s="131"/>
      <c r="W1681" s="131"/>
      <c r="X1681" s="131"/>
      <c r="Y1681" s="131"/>
      <c r="Z1681" s="131"/>
      <c r="AA1681" s="131"/>
      <c r="AB1681" s="131"/>
      <c r="AC1681" s="131"/>
    </row>
    <row r="1682" spans="2:29" x14ac:dyDescent="0.2">
      <c r="B1682" s="151"/>
      <c r="C1682" s="152"/>
      <c r="H1682" s="340"/>
      <c r="L1682" s="131"/>
      <c r="M1682" s="131"/>
      <c r="N1682" s="131"/>
      <c r="O1682" s="131"/>
      <c r="P1682" s="131"/>
      <c r="Q1682" s="131"/>
      <c r="R1682" s="131"/>
      <c r="S1682" s="131"/>
      <c r="T1682" s="131"/>
      <c r="U1682" s="131"/>
      <c r="V1682" s="131"/>
      <c r="W1682" s="131"/>
      <c r="X1682" s="131"/>
      <c r="Y1682" s="131"/>
      <c r="Z1682" s="131"/>
      <c r="AA1682" s="131"/>
      <c r="AB1682" s="131"/>
      <c r="AC1682" s="131"/>
    </row>
    <row r="1683" spans="2:29" x14ac:dyDescent="0.2">
      <c r="B1683" s="151"/>
      <c r="C1683" s="152"/>
      <c r="H1683" s="340"/>
      <c r="L1683" s="131"/>
      <c r="M1683" s="131"/>
      <c r="N1683" s="131"/>
      <c r="O1683" s="131"/>
      <c r="P1683" s="131"/>
      <c r="Q1683" s="131"/>
      <c r="R1683" s="131"/>
      <c r="S1683" s="131"/>
      <c r="T1683" s="131"/>
      <c r="U1683" s="131"/>
      <c r="V1683" s="131"/>
      <c r="W1683" s="131"/>
      <c r="X1683" s="131"/>
      <c r="Y1683" s="131"/>
      <c r="Z1683" s="131"/>
      <c r="AA1683" s="131"/>
      <c r="AB1683" s="131"/>
      <c r="AC1683" s="131"/>
    </row>
    <row r="1684" spans="2:29" x14ac:dyDescent="0.2">
      <c r="B1684" s="151"/>
      <c r="C1684" s="152"/>
      <c r="H1684" s="340"/>
      <c r="L1684" s="131"/>
      <c r="M1684" s="131"/>
      <c r="N1684" s="131"/>
      <c r="O1684" s="131"/>
      <c r="P1684" s="131"/>
      <c r="Q1684" s="131"/>
      <c r="R1684" s="131"/>
      <c r="S1684" s="131"/>
      <c r="T1684" s="131"/>
      <c r="U1684" s="131"/>
      <c r="V1684" s="131"/>
      <c r="W1684" s="131"/>
      <c r="X1684" s="131"/>
      <c r="Y1684" s="131"/>
      <c r="Z1684" s="131"/>
      <c r="AA1684" s="131"/>
      <c r="AB1684" s="131"/>
      <c r="AC1684" s="131"/>
    </row>
    <row r="1685" spans="2:29" x14ac:dyDescent="0.2">
      <c r="B1685" s="151"/>
      <c r="C1685" s="152"/>
      <c r="H1685" s="340"/>
      <c r="L1685" s="131"/>
      <c r="M1685" s="131"/>
      <c r="N1685" s="131"/>
      <c r="O1685" s="131"/>
      <c r="P1685" s="131"/>
      <c r="Q1685" s="131"/>
      <c r="R1685" s="131"/>
      <c r="S1685" s="131"/>
      <c r="T1685" s="131"/>
      <c r="U1685" s="131"/>
      <c r="V1685" s="131"/>
      <c r="W1685" s="131"/>
      <c r="X1685" s="131"/>
      <c r="Y1685" s="131"/>
      <c r="Z1685" s="131"/>
      <c r="AA1685" s="131"/>
      <c r="AB1685" s="131"/>
      <c r="AC1685" s="131"/>
    </row>
    <row r="1686" spans="2:29" x14ac:dyDescent="0.2">
      <c r="B1686" s="151"/>
      <c r="C1686" s="152"/>
      <c r="H1686" s="340"/>
      <c r="L1686" s="131"/>
      <c r="M1686" s="131"/>
      <c r="N1686" s="131"/>
      <c r="O1686" s="131"/>
      <c r="P1686" s="131"/>
      <c r="Q1686" s="131"/>
      <c r="R1686" s="131"/>
      <c r="S1686" s="131"/>
      <c r="T1686" s="131"/>
      <c r="U1686" s="131"/>
      <c r="V1686" s="131"/>
      <c r="W1686" s="131"/>
      <c r="X1686" s="131"/>
      <c r="Y1686" s="131"/>
      <c r="Z1686" s="131"/>
      <c r="AA1686" s="131"/>
      <c r="AB1686" s="131"/>
      <c r="AC1686" s="131"/>
    </row>
    <row r="1687" spans="2:29" x14ac:dyDescent="0.2">
      <c r="B1687" s="151"/>
      <c r="C1687" s="152"/>
      <c r="H1687" s="340"/>
      <c r="L1687" s="131"/>
      <c r="M1687" s="131"/>
      <c r="N1687" s="131"/>
      <c r="O1687" s="131"/>
      <c r="P1687" s="131"/>
      <c r="Q1687" s="131"/>
      <c r="R1687" s="131"/>
      <c r="S1687" s="131"/>
      <c r="T1687" s="131"/>
      <c r="U1687" s="131"/>
      <c r="V1687" s="131"/>
      <c r="W1687" s="131"/>
      <c r="X1687" s="131"/>
      <c r="Y1687" s="131"/>
      <c r="Z1687" s="131"/>
      <c r="AA1687" s="131"/>
      <c r="AB1687" s="131"/>
      <c r="AC1687" s="131"/>
    </row>
    <row r="1688" spans="2:29" x14ac:dyDescent="0.2">
      <c r="B1688" s="151"/>
      <c r="C1688" s="152"/>
      <c r="H1688" s="340"/>
      <c r="L1688" s="131"/>
      <c r="M1688" s="131"/>
      <c r="N1688" s="131"/>
      <c r="O1688" s="131"/>
      <c r="P1688" s="131"/>
      <c r="Q1688" s="131"/>
      <c r="R1688" s="131"/>
      <c r="S1688" s="131"/>
      <c r="T1688" s="131"/>
      <c r="U1688" s="131"/>
      <c r="V1688" s="131"/>
      <c r="W1688" s="131"/>
      <c r="X1688" s="131"/>
      <c r="Y1688" s="131"/>
      <c r="Z1688" s="131"/>
      <c r="AA1688" s="131"/>
      <c r="AB1688" s="131"/>
      <c r="AC1688" s="131"/>
    </row>
    <row r="1689" spans="2:29" x14ac:dyDescent="0.2">
      <c r="B1689" s="151"/>
      <c r="C1689" s="152"/>
      <c r="H1689" s="340"/>
      <c r="L1689" s="131"/>
      <c r="M1689" s="131"/>
      <c r="N1689" s="131"/>
      <c r="O1689" s="131"/>
      <c r="P1689" s="131"/>
      <c r="Q1689" s="131"/>
      <c r="R1689" s="131"/>
      <c r="S1689" s="131"/>
      <c r="T1689" s="131"/>
      <c r="U1689" s="131"/>
      <c r="V1689" s="131"/>
      <c r="W1689" s="131"/>
      <c r="X1689" s="131"/>
      <c r="Y1689" s="131"/>
      <c r="Z1689" s="131"/>
      <c r="AA1689" s="131"/>
      <c r="AB1689" s="131"/>
      <c r="AC1689" s="131"/>
    </row>
    <row r="1690" spans="2:29" x14ac:dyDescent="0.2">
      <c r="B1690" s="151"/>
      <c r="C1690" s="152"/>
      <c r="H1690" s="340"/>
      <c r="L1690" s="131"/>
      <c r="M1690" s="131"/>
      <c r="N1690" s="131"/>
      <c r="O1690" s="131"/>
      <c r="P1690" s="131"/>
      <c r="Q1690" s="131"/>
      <c r="R1690" s="131"/>
      <c r="S1690" s="131"/>
      <c r="T1690" s="131"/>
      <c r="U1690" s="131"/>
      <c r="V1690" s="131"/>
      <c r="W1690" s="131"/>
      <c r="X1690" s="131"/>
      <c r="Y1690" s="131"/>
      <c r="Z1690" s="131"/>
      <c r="AA1690" s="131"/>
      <c r="AB1690" s="131"/>
      <c r="AC1690" s="131"/>
    </row>
    <row r="1691" spans="2:29" x14ac:dyDescent="0.2">
      <c r="B1691" s="151"/>
      <c r="C1691" s="152"/>
      <c r="H1691" s="340"/>
      <c r="L1691" s="131"/>
      <c r="M1691" s="131"/>
      <c r="N1691" s="131"/>
      <c r="O1691" s="131"/>
      <c r="P1691" s="131"/>
      <c r="Q1691" s="131"/>
      <c r="R1691" s="131"/>
      <c r="S1691" s="131"/>
      <c r="T1691" s="131"/>
      <c r="U1691" s="131"/>
      <c r="V1691" s="131"/>
      <c r="W1691" s="131"/>
      <c r="X1691" s="131"/>
      <c r="Y1691" s="131"/>
      <c r="Z1691" s="131"/>
      <c r="AA1691" s="131"/>
      <c r="AB1691" s="131"/>
      <c r="AC1691" s="131"/>
    </row>
    <row r="1692" spans="2:29" x14ac:dyDescent="0.2">
      <c r="B1692" s="151"/>
      <c r="C1692" s="152"/>
      <c r="H1692" s="340"/>
      <c r="L1692" s="131"/>
      <c r="M1692" s="131"/>
      <c r="N1692" s="131"/>
      <c r="O1692" s="131"/>
      <c r="P1692" s="131"/>
      <c r="Q1692" s="131"/>
      <c r="R1692" s="131"/>
      <c r="S1692" s="131"/>
      <c r="T1692" s="131"/>
      <c r="U1692" s="131"/>
      <c r="V1692" s="131"/>
      <c r="W1692" s="131"/>
      <c r="X1692" s="131"/>
      <c r="Y1692" s="131"/>
      <c r="Z1692" s="131"/>
      <c r="AA1692" s="131"/>
      <c r="AB1692" s="131"/>
      <c r="AC1692" s="131"/>
    </row>
    <row r="1693" spans="2:29" x14ac:dyDescent="0.2">
      <c r="B1693" s="151"/>
      <c r="C1693" s="152"/>
      <c r="H1693" s="340"/>
      <c r="L1693" s="131"/>
      <c r="M1693" s="131"/>
      <c r="N1693" s="131"/>
      <c r="O1693" s="131"/>
      <c r="P1693" s="131"/>
      <c r="Q1693" s="131"/>
      <c r="R1693" s="131"/>
      <c r="S1693" s="131"/>
      <c r="T1693" s="131"/>
      <c r="U1693" s="131"/>
      <c r="V1693" s="131"/>
      <c r="W1693" s="131"/>
      <c r="X1693" s="131"/>
      <c r="Y1693" s="131"/>
      <c r="Z1693" s="131"/>
      <c r="AA1693" s="131"/>
      <c r="AB1693" s="131"/>
      <c r="AC1693" s="131"/>
    </row>
    <row r="1694" spans="2:29" x14ac:dyDescent="0.2">
      <c r="B1694" s="151"/>
      <c r="C1694" s="152"/>
      <c r="H1694" s="340"/>
      <c r="L1694" s="131"/>
      <c r="M1694" s="131"/>
      <c r="N1694" s="131"/>
      <c r="O1694" s="131"/>
      <c r="P1694" s="131"/>
      <c r="Q1694" s="131"/>
      <c r="R1694" s="131"/>
      <c r="S1694" s="131"/>
      <c r="T1694" s="131"/>
      <c r="U1694" s="131"/>
      <c r="V1694" s="131"/>
      <c r="W1694" s="131"/>
      <c r="X1694" s="131"/>
      <c r="Y1694" s="131"/>
      <c r="Z1694" s="131"/>
      <c r="AA1694" s="131"/>
      <c r="AB1694" s="131"/>
      <c r="AC1694" s="131"/>
    </row>
    <row r="1695" spans="2:29" x14ac:dyDescent="0.2">
      <c r="B1695" s="151"/>
      <c r="C1695" s="152"/>
      <c r="H1695" s="340"/>
      <c r="L1695" s="131"/>
      <c r="M1695" s="131"/>
      <c r="N1695" s="131"/>
      <c r="O1695" s="131"/>
      <c r="P1695" s="131"/>
      <c r="Q1695" s="131"/>
      <c r="R1695" s="131"/>
      <c r="S1695" s="131"/>
      <c r="T1695" s="131"/>
      <c r="U1695" s="131"/>
      <c r="V1695" s="131"/>
      <c r="W1695" s="131"/>
      <c r="X1695" s="131"/>
      <c r="Y1695" s="131"/>
      <c r="Z1695" s="131"/>
      <c r="AA1695" s="131"/>
      <c r="AB1695" s="131"/>
      <c r="AC1695" s="131"/>
    </row>
    <row r="1696" spans="2:29" x14ac:dyDescent="0.2">
      <c r="B1696" s="151"/>
      <c r="C1696" s="152"/>
      <c r="H1696" s="340"/>
      <c r="L1696" s="131"/>
      <c r="M1696" s="131"/>
      <c r="N1696" s="131"/>
      <c r="O1696" s="131"/>
      <c r="P1696" s="131"/>
      <c r="Q1696" s="131"/>
      <c r="R1696" s="131"/>
      <c r="S1696" s="131"/>
      <c r="T1696" s="131"/>
      <c r="U1696" s="131"/>
      <c r="V1696" s="131"/>
      <c r="W1696" s="131"/>
      <c r="X1696" s="131"/>
      <c r="Y1696" s="131"/>
      <c r="Z1696" s="131"/>
      <c r="AA1696" s="131"/>
      <c r="AB1696" s="131"/>
      <c r="AC1696" s="131"/>
    </row>
    <row r="1697" spans="2:29" x14ac:dyDescent="0.2">
      <c r="B1697" s="151"/>
      <c r="C1697" s="152"/>
      <c r="H1697" s="340"/>
      <c r="L1697" s="131"/>
      <c r="M1697" s="131"/>
      <c r="N1697" s="131"/>
      <c r="O1697" s="131"/>
      <c r="P1697" s="131"/>
      <c r="Q1697" s="131"/>
      <c r="R1697" s="131"/>
      <c r="S1697" s="131"/>
      <c r="T1697" s="131"/>
      <c r="U1697" s="131"/>
      <c r="V1697" s="131"/>
      <c r="W1697" s="131"/>
      <c r="X1697" s="131"/>
      <c r="Y1697" s="131"/>
      <c r="Z1697" s="131"/>
      <c r="AA1697" s="131"/>
      <c r="AB1697" s="131"/>
      <c r="AC1697" s="131"/>
    </row>
    <row r="1698" spans="2:29" x14ac:dyDescent="0.2">
      <c r="B1698" s="151"/>
      <c r="C1698" s="152"/>
      <c r="H1698" s="340"/>
      <c r="L1698" s="131"/>
      <c r="M1698" s="131"/>
      <c r="N1698" s="131"/>
      <c r="O1698" s="131"/>
      <c r="P1698" s="131"/>
      <c r="Q1698" s="131"/>
      <c r="R1698" s="131"/>
      <c r="S1698" s="131"/>
      <c r="T1698" s="131"/>
      <c r="U1698" s="131"/>
      <c r="V1698" s="131"/>
      <c r="W1698" s="131"/>
      <c r="X1698" s="131"/>
      <c r="Y1698" s="131"/>
      <c r="Z1698" s="131"/>
      <c r="AA1698" s="131"/>
      <c r="AB1698" s="131"/>
      <c r="AC1698" s="131"/>
    </row>
    <row r="1699" spans="2:29" x14ac:dyDescent="0.2">
      <c r="B1699" s="151"/>
      <c r="C1699" s="152"/>
      <c r="H1699" s="340"/>
      <c r="L1699" s="131"/>
      <c r="M1699" s="131"/>
      <c r="N1699" s="131"/>
      <c r="O1699" s="131"/>
      <c r="P1699" s="131"/>
      <c r="Q1699" s="131"/>
      <c r="R1699" s="131"/>
      <c r="S1699" s="131"/>
      <c r="T1699" s="131"/>
      <c r="U1699" s="131"/>
      <c r="V1699" s="131"/>
      <c r="W1699" s="131"/>
      <c r="X1699" s="131"/>
      <c r="Y1699" s="131"/>
      <c r="Z1699" s="131"/>
      <c r="AA1699" s="131"/>
      <c r="AB1699" s="131"/>
      <c r="AC1699" s="131"/>
    </row>
    <row r="1700" spans="2:29" x14ac:dyDescent="0.2">
      <c r="B1700" s="151"/>
      <c r="C1700" s="152"/>
      <c r="H1700" s="340"/>
      <c r="L1700" s="131"/>
      <c r="M1700" s="131"/>
      <c r="N1700" s="131"/>
      <c r="O1700" s="131"/>
      <c r="P1700" s="131"/>
      <c r="Q1700" s="131"/>
      <c r="R1700" s="131"/>
      <c r="S1700" s="131"/>
      <c r="T1700" s="131"/>
      <c r="U1700" s="131"/>
      <c r="V1700" s="131"/>
      <c r="W1700" s="131"/>
      <c r="X1700" s="131"/>
      <c r="Y1700" s="131"/>
      <c r="Z1700" s="131"/>
      <c r="AA1700" s="131"/>
      <c r="AB1700" s="131"/>
      <c r="AC1700" s="131"/>
    </row>
    <row r="1701" spans="2:29" x14ac:dyDescent="0.2">
      <c r="B1701" s="151"/>
      <c r="C1701" s="152"/>
      <c r="H1701" s="340"/>
      <c r="L1701" s="131"/>
      <c r="M1701" s="131"/>
      <c r="N1701" s="131"/>
      <c r="O1701" s="131"/>
      <c r="P1701" s="131"/>
      <c r="Q1701" s="131"/>
      <c r="R1701" s="131"/>
      <c r="S1701" s="131"/>
      <c r="T1701" s="131"/>
      <c r="U1701" s="131"/>
      <c r="V1701" s="131"/>
      <c r="W1701" s="131"/>
      <c r="X1701" s="131"/>
      <c r="Y1701" s="131"/>
      <c r="Z1701" s="131"/>
      <c r="AA1701" s="131"/>
      <c r="AB1701" s="131"/>
      <c r="AC1701" s="131"/>
    </row>
    <row r="1702" spans="2:29" x14ac:dyDescent="0.2">
      <c r="B1702" s="151"/>
      <c r="C1702" s="152"/>
      <c r="H1702" s="340"/>
      <c r="L1702" s="131"/>
      <c r="M1702" s="131"/>
      <c r="N1702" s="131"/>
      <c r="O1702" s="131"/>
      <c r="P1702" s="131"/>
      <c r="Q1702" s="131"/>
      <c r="R1702" s="131"/>
      <c r="S1702" s="131"/>
      <c r="T1702" s="131"/>
      <c r="U1702" s="131"/>
      <c r="V1702" s="131"/>
      <c r="W1702" s="131"/>
      <c r="X1702" s="131"/>
      <c r="Y1702" s="131"/>
      <c r="Z1702" s="131"/>
      <c r="AA1702" s="131"/>
      <c r="AB1702" s="131"/>
      <c r="AC1702" s="131"/>
    </row>
    <row r="1703" spans="2:29" x14ac:dyDescent="0.2">
      <c r="B1703" s="151"/>
      <c r="C1703" s="152"/>
      <c r="H1703" s="340"/>
      <c r="L1703" s="131"/>
      <c r="M1703" s="131"/>
      <c r="N1703" s="131"/>
      <c r="O1703" s="131"/>
      <c r="P1703" s="131"/>
      <c r="Q1703" s="131"/>
      <c r="R1703" s="131"/>
      <c r="S1703" s="131"/>
      <c r="T1703" s="131"/>
      <c r="U1703" s="131"/>
      <c r="V1703" s="131"/>
      <c r="W1703" s="131"/>
      <c r="X1703" s="131"/>
      <c r="Y1703" s="131"/>
      <c r="Z1703" s="131"/>
      <c r="AA1703" s="131"/>
      <c r="AB1703" s="131"/>
      <c r="AC1703" s="131"/>
    </row>
    <row r="1704" spans="2:29" x14ac:dyDescent="0.2">
      <c r="B1704" s="151"/>
      <c r="C1704" s="152"/>
      <c r="H1704" s="340"/>
      <c r="L1704" s="131"/>
      <c r="M1704" s="131"/>
      <c r="N1704" s="131"/>
      <c r="O1704" s="131"/>
      <c r="P1704" s="131"/>
      <c r="Q1704" s="131"/>
      <c r="R1704" s="131"/>
      <c r="S1704" s="131"/>
      <c r="T1704" s="131"/>
      <c r="U1704" s="131"/>
      <c r="V1704" s="131"/>
      <c r="W1704" s="131"/>
      <c r="X1704" s="131"/>
      <c r="Y1704" s="131"/>
      <c r="Z1704" s="131"/>
      <c r="AA1704" s="131"/>
      <c r="AB1704" s="131"/>
      <c r="AC1704" s="131"/>
    </row>
    <row r="1705" spans="2:29" x14ac:dyDescent="0.2">
      <c r="B1705" s="151"/>
      <c r="C1705" s="152"/>
      <c r="H1705" s="340"/>
      <c r="L1705" s="131"/>
      <c r="M1705" s="131"/>
      <c r="N1705" s="131"/>
      <c r="O1705" s="131"/>
      <c r="P1705" s="131"/>
      <c r="Q1705" s="131"/>
      <c r="R1705" s="131"/>
      <c r="S1705" s="131"/>
      <c r="T1705" s="131"/>
      <c r="U1705" s="131"/>
      <c r="V1705" s="131"/>
      <c r="W1705" s="131"/>
      <c r="X1705" s="131"/>
      <c r="Y1705" s="131"/>
      <c r="Z1705" s="131"/>
      <c r="AA1705" s="131"/>
      <c r="AB1705" s="131"/>
      <c r="AC1705" s="131"/>
    </row>
    <row r="1706" spans="2:29" x14ac:dyDescent="0.2">
      <c r="B1706" s="151"/>
      <c r="C1706" s="152"/>
      <c r="H1706" s="340"/>
      <c r="L1706" s="131"/>
      <c r="M1706" s="131"/>
      <c r="N1706" s="131"/>
      <c r="O1706" s="131"/>
      <c r="P1706" s="131"/>
      <c r="Q1706" s="131"/>
      <c r="R1706" s="131"/>
      <c r="S1706" s="131"/>
      <c r="T1706" s="131"/>
      <c r="U1706" s="131"/>
      <c r="V1706" s="131"/>
      <c r="W1706" s="131"/>
      <c r="X1706" s="131"/>
      <c r="Y1706" s="131"/>
      <c r="Z1706" s="131"/>
      <c r="AA1706" s="131"/>
      <c r="AB1706" s="131"/>
      <c r="AC1706" s="131"/>
    </row>
    <row r="1707" spans="2:29" x14ac:dyDescent="0.2">
      <c r="B1707" s="151"/>
      <c r="C1707" s="152"/>
      <c r="H1707" s="340"/>
      <c r="L1707" s="131"/>
      <c r="M1707" s="131"/>
      <c r="N1707" s="131"/>
      <c r="O1707" s="131"/>
      <c r="P1707" s="131"/>
      <c r="Q1707" s="131"/>
      <c r="R1707" s="131"/>
      <c r="S1707" s="131"/>
      <c r="T1707" s="131"/>
      <c r="U1707" s="131"/>
      <c r="V1707" s="131"/>
      <c r="W1707" s="131"/>
      <c r="X1707" s="131"/>
      <c r="Y1707" s="131"/>
      <c r="Z1707" s="131"/>
      <c r="AA1707" s="131"/>
      <c r="AB1707" s="131"/>
      <c r="AC1707" s="131"/>
    </row>
    <row r="1708" spans="2:29" x14ac:dyDescent="0.2">
      <c r="B1708" s="151"/>
      <c r="C1708" s="152"/>
      <c r="H1708" s="340"/>
      <c r="L1708" s="131"/>
      <c r="M1708" s="131"/>
      <c r="N1708" s="131"/>
      <c r="O1708" s="131"/>
      <c r="P1708" s="131"/>
      <c r="Q1708" s="131"/>
      <c r="R1708" s="131"/>
      <c r="S1708" s="131"/>
      <c r="T1708" s="131"/>
      <c r="U1708" s="131"/>
      <c r="V1708" s="131"/>
      <c r="W1708" s="131"/>
      <c r="X1708" s="131"/>
      <c r="Y1708" s="131"/>
      <c r="Z1708" s="131"/>
      <c r="AA1708" s="131"/>
      <c r="AB1708" s="131"/>
      <c r="AC1708" s="131"/>
    </row>
    <row r="1709" spans="2:29" x14ac:dyDescent="0.2">
      <c r="B1709" s="151"/>
      <c r="C1709" s="152"/>
      <c r="H1709" s="340"/>
      <c r="L1709" s="131"/>
      <c r="M1709" s="131"/>
      <c r="N1709" s="131"/>
      <c r="O1709" s="131"/>
      <c r="P1709" s="131"/>
      <c r="Q1709" s="131"/>
      <c r="R1709" s="131"/>
      <c r="S1709" s="131"/>
      <c r="T1709" s="131"/>
      <c r="U1709" s="131"/>
      <c r="V1709" s="131"/>
      <c r="W1709" s="131"/>
      <c r="X1709" s="131"/>
      <c r="Y1709" s="131"/>
      <c r="Z1709" s="131"/>
      <c r="AA1709" s="131"/>
      <c r="AB1709" s="131"/>
      <c r="AC1709" s="131"/>
    </row>
    <row r="1710" spans="2:29" x14ac:dyDescent="0.2">
      <c r="B1710" s="151"/>
      <c r="C1710" s="152"/>
      <c r="H1710" s="340"/>
      <c r="L1710" s="131"/>
      <c r="M1710" s="131"/>
      <c r="N1710" s="131"/>
      <c r="O1710" s="131"/>
      <c r="P1710" s="131"/>
      <c r="Q1710" s="131"/>
      <c r="R1710" s="131"/>
      <c r="S1710" s="131"/>
      <c r="T1710" s="131"/>
      <c r="U1710" s="131"/>
      <c r="V1710" s="131"/>
      <c r="W1710" s="131"/>
      <c r="X1710" s="131"/>
      <c r="Y1710" s="131"/>
      <c r="Z1710" s="131"/>
      <c r="AA1710" s="131"/>
      <c r="AB1710" s="131"/>
      <c r="AC1710" s="131"/>
    </row>
    <row r="1711" spans="2:29" x14ac:dyDescent="0.2">
      <c r="B1711" s="151"/>
      <c r="C1711" s="152"/>
      <c r="H1711" s="340"/>
      <c r="L1711" s="131"/>
      <c r="M1711" s="131"/>
      <c r="N1711" s="131"/>
      <c r="O1711" s="131"/>
      <c r="P1711" s="131"/>
      <c r="Q1711" s="131"/>
      <c r="R1711" s="131"/>
      <c r="S1711" s="131"/>
      <c r="T1711" s="131"/>
      <c r="U1711" s="131"/>
      <c r="V1711" s="131"/>
      <c r="W1711" s="131"/>
      <c r="X1711" s="131"/>
      <c r="Y1711" s="131"/>
      <c r="Z1711" s="131"/>
      <c r="AA1711" s="131"/>
      <c r="AB1711" s="131"/>
      <c r="AC1711" s="131"/>
    </row>
    <row r="1712" spans="2:29" x14ac:dyDescent="0.2">
      <c r="C1712" s="152"/>
      <c r="H1712" s="340"/>
      <c r="L1712" s="131"/>
      <c r="M1712" s="131"/>
      <c r="N1712" s="131"/>
      <c r="O1712" s="131"/>
      <c r="P1712" s="131"/>
      <c r="Q1712" s="131"/>
      <c r="R1712" s="131"/>
      <c r="S1712" s="131"/>
      <c r="T1712" s="131"/>
      <c r="U1712" s="131"/>
      <c r="V1712" s="131"/>
      <c r="W1712" s="131"/>
      <c r="X1712" s="131"/>
      <c r="Y1712" s="131"/>
      <c r="Z1712" s="131"/>
      <c r="AA1712" s="131"/>
      <c r="AB1712" s="131"/>
      <c r="AC1712" s="131"/>
    </row>
    <row r="1713" spans="4:29" x14ac:dyDescent="0.2">
      <c r="H1713" s="340"/>
      <c r="L1713" s="131"/>
      <c r="M1713" s="131"/>
      <c r="N1713" s="131"/>
      <c r="O1713" s="131"/>
      <c r="P1713" s="131"/>
      <c r="Q1713" s="131"/>
      <c r="R1713" s="131"/>
      <c r="S1713" s="131"/>
      <c r="T1713" s="131"/>
      <c r="U1713" s="131"/>
      <c r="V1713" s="131"/>
      <c r="W1713" s="131"/>
      <c r="X1713" s="131"/>
      <c r="Y1713" s="131"/>
      <c r="Z1713" s="131"/>
      <c r="AA1713" s="131"/>
      <c r="AB1713" s="131"/>
      <c r="AC1713" s="131"/>
    </row>
    <row r="1714" spans="4:29" x14ac:dyDescent="0.2">
      <c r="D1714" s="131"/>
      <c r="E1714" s="131"/>
      <c r="F1714" s="131"/>
      <c r="G1714" s="131"/>
      <c r="H1714" s="340"/>
      <c r="L1714" s="131"/>
      <c r="M1714" s="131"/>
      <c r="N1714" s="131"/>
      <c r="O1714" s="131"/>
      <c r="P1714" s="131"/>
      <c r="Q1714" s="131"/>
      <c r="R1714" s="131"/>
      <c r="S1714" s="131"/>
      <c r="T1714" s="131"/>
      <c r="U1714" s="131"/>
      <c r="V1714" s="131"/>
      <c r="W1714" s="131"/>
      <c r="X1714" s="131"/>
      <c r="Y1714" s="131"/>
      <c r="Z1714" s="131"/>
      <c r="AA1714" s="131"/>
      <c r="AB1714" s="131"/>
      <c r="AC1714" s="131"/>
    </row>
    <row r="1715" spans="4:29" x14ac:dyDescent="0.2">
      <c r="D1715" s="131"/>
      <c r="E1715" s="131"/>
      <c r="F1715" s="131"/>
      <c r="G1715" s="131"/>
      <c r="H1715" s="340"/>
      <c r="L1715" s="131"/>
      <c r="M1715" s="131"/>
      <c r="N1715" s="131"/>
      <c r="O1715" s="131"/>
      <c r="P1715" s="131"/>
      <c r="Q1715" s="131"/>
      <c r="R1715" s="131"/>
      <c r="S1715" s="131"/>
      <c r="T1715" s="131"/>
      <c r="U1715" s="131"/>
      <c r="V1715" s="131"/>
      <c r="W1715" s="131"/>
      <c r="X1715" s="131"/>
      <c r="Y1715" s="131"/>
      <c r="Z1715" s="131"/>
      <c r="AA1715" s="131"/>
      <c r="AB1715" s="131"/>
      <c r="AC1715" s="131"/>
    </row>
    <row r="1716" spans="4:29" x14ac:dyDescent="0.2">
      <c r="D1716" s="131"/>
      <c r="E1716" s="131"/>
      <c r="F1716" s="131"/>
      <c r="G1716" s="131"/>
      <c r="H1716" s="340"/>
      <c r="L1716" s="131"/>
      <c r="M1716" s="131"/>
      <c r="N1716" s="131"/>
      <c r="O1716" s="131"/>
      <c r="P1716" s="131"/>
      <c r="Q1716" s="131"/>
      <c r="R1716" s="131"/>
      <c r="S1716" s="131"/>
      <c r="T1716" s="131"/>
      <c r="U1716" s="131"/>
      <c r="V1716" s="131"/>
      <c r="W1716" s="131"/>
      <c r="X1716" s="131"/>
      <c r="Y1716" s="131"/>
      <c r="Z1716" s="131"/>
      <c r="AA1716" s="131"/>
      <c r="AB1716" s="131"/>
      <c r="AC1716" s="131"/>
    </row>
    <row r="1717" spans="4:29" x14ac:dyDescent="0.2">
      <c r="D1717" s="131"/>
      <c r="E1717" s="131"/>
      <c r="F1717" s="131"/>
      <c r="G1717" s="131"/>
      <c r="H1717" s="340"/>
      <c r="L1717" s="131"/>
      <c r="M1717" s="131"/>
      <c r="N1717" s="131"/>
      <c r="O1717" s="131"/>
      <c r="P1717" s="131"/>
      <c r="Q1717" s="131"/>
      <c r="R1717" s="131"/>
      <c r="S1717" s="131"/>
      <c r="T1717" s="131"/>
      <c r="U1717" s="131"/>
      <c r="V1717" s="131"/>
      <c r="W1717" s="131"/>
      <c r="X1717" s="131"/>
      <c r="Y1717" s="131"/>
      <c r="Z1717" s="131"/>
      <c r="AA1717" s="131"/>
      <c r="AB1717" s="131"/>
      <c r="AC1717" s="131"/>
    </row>
    <row r="1718" spans="4:29" x14ac:dyDescent="0.2">
      <c r="D1718" s="131"/>
      <c r="E1718" s="131"/>
      <c r="F1718" s="131"/>
      <c r="G1718" s="131"/>
      <c r="H1718" s="340"/>
      <c r="L1718" s="131"/>
      <c r="M1718" s="131"/>
      <c r="N1718" s="131"/>
      <c r="O1718" s="131"/>
      <c r="P1718" s="131"/>
      <c r="Q1718" s="131"/>
      <c r="R1718" s="131"/>
      <c r="S1718" s="131"/>
      <c r="T1718" s="131"/>
      <c r="U1718" s="131"/>
      <c r="V1718" s="131"/>
      <c r="W1718" s="131"/>
      <c r="X1718" s="131"/>
      <c r="Y1718" s="131"/>
      <c r="Z1718" s="131"/>
      <c r="AA1718" s="131"/>
      <c r="AB1718" s="131"/>
      <c r="AC1718" s="131"/>
    </row>
    <row r="1719" spans="4:29" x14ac:dyDescent="0.2">
      <c r="D1719" s="131"/>
      <c r="E1719" s="131"/>
      <c r="F1719" s="131"/>
      <c r="G1719" s="131"/>
      <c r="H1719" s="340"/>
      <c r="L1719" s="131"/>
      <c r="M1719" s="131"/>
      <c r="N1719" s="131"/>
      <c r="O1719" s="131"/>
      <c r="P1719" s="131"/>
      <c r="Q1719" s="131"/>
      <c r="R1719" s="131"/>
      <c r="S1719" s="131"/>
      <c r="T1719" s="131"/>
      <c r="U1719" s="131"/>
      <c r="V1719" s="131"/>
      <c r="W1719" s="131"/>
      <c r="X1719" s="131"/>
      <c r="Y1719" s="131"/>
      <c r="Z1719" s="131"/>
      <c r="AA1719" s="131"/>
      <c r="AB1719" s="131"/>
      <c r="AC1719" s="131"/>
    </row>
    <row r="1720" spans="4:29" x14ac:dyDescent="0.2">
      <c r="D1720" s="131"/>
      <c r="E1720" s="131"/>
      <c r="F1720" s="131"/>
      <c r="G1720" s="131"/>
      <c r="H1720" s="340"/>
      <c r="L1720" s="131"/>
      <c r="M1720" s="131"/>
      <c r="N1720" s="131"/>
      <c r="O1720" s="131"/>
      <c r="P1720" s="131"/>
      <c r="Q1720" s="131"/>
      <c r="R1720" s="131"/>
      <c r="S1720" s="131"/>
      <c r="T1720" s="131"/>
      <c r="U1720" s="131"/>
      <c r="V1720" s="131"/>
      <c r="W1720" s="131"/>
      <c r="X1720" s="131"/>
      <c r="Y1720" s="131"/>
      <c r="Z1720" s="131"/>
      <c r="AA1720" s="131"/>
      <c r="AB1720" s="131"/>
      <c r="AC1720" s="131"/>
    </row>
    <row r="1721" spans="4:29" x14ac:dyDescent="0.2">
      <c r="D1721" s="131"/>
      <c r="E1721" s="131"/>
      <c r="F1721" s="131"/>
      <c r="G1721" s="131"/>
      <c r="H1721" s="340"/>
      <c r="L1721" s="131"/>
      <c r="M1721" s="131"/>
      <c r="N1721" s="131"/>
      <c r="O1721" s="131"/>
      <c r="P1721" s="131"/>
      <c r="Q1721" s="131"/>
      <c r="R1721" s="131"/>
      <c r="S1721" s="131"/>
      <c r="T1721" s="131"/>
      <c r="U1721" s="131"/>
      <c r="V1721" s="131"/>
      <c r="W1721" s="131"/>
      <c r="X1721" s="131"/>
      <c r="Y1721" s="131"/>
      <c r="Z1721" s="131"/>
      <c r="AA1721" s="131"/>
      <c r="AB1721" s="131"/>
      <c r="AC1721" s="131"/>
    </row>
    <row r="1722" spans="4:29" x14ac:dyDescent="0.2">
      <c r="D1722" s="131"/>
      <c r="E1722" s="131"/>
      <c r="F1722" s="131"/>
      <c r="G1722" s="131"/>
      <c r="H1722" s="340"/>
      <c r="L1722" s="131"/>
      <c r="M1722" s="131"/>
      <c r="N1722" s="131"/>
      <c r="O1722" s="131"/>
      <c r="P1722" s="131"/>
      <c r="Q1722" s="131"/>
      <c r="R1722" s="131"/>
      <c r="S1722" s="131"/>
      <c r="T1722" s="131"/>
      <c r="U1722" s="131"/>
      <c r="V1722" s="131"/>
      <c r="W1722" s="131"/>
      <c r="X1722" s="131"/>
      <c r="Y1722" s="131"/>
      <c r="Z1722" s="131"/>
      <c r="AA1722" s="131"/>
      <c r="AB1722" s="131"/>
      <c r="AC1722" s="131"/>
    </row>
    <row r="1723" spans="4:29" x14ac:dyDescent="0.2">
      <c r="D1723" s="131"/>
      <c r="E1723" s="131"/>
      <c r="F1723" s="131"/>
      <c r="G1723" s="131"/>
      <c r="H1723" s="340"/>
      <c r="L1723" s="131"/>
      <c r="M1723" s="131"/>
      <c r="N1723" s="131"/>
      <c r="O1723" s="131"/>
      <c r="P1723" s="131"/>
      <c r="Q1723" s="131"/>
      <c r="R1723" s="131"/>
      <c r="S1723" s="131"/>
      <c r="T1723" s="131"/>
      <c r="U1723" s="131"/>
      <c r="V1723" s="131"/>
      <c r="W1723" s="131"/>
      <c r="X1723" s="131"/>
      <c r="Y1723" s="131"/>
      <c r="Z1723" s="131"/>
      <c r="AA1723" s="131"/>
      <c r="AB1723" s="131"/>
      <c r="AC1723" s="131"/>
    </row>
    <row r="1724" spans="4:29" x14ac:dyDescent="0.2">
      <c r="D1724" s="131"/>
      <c r="E1724" s="131"/>
      <c r="F1724" s="131"/>
      <c r="G1724" s="131"/>
      <c r="H1724" s="340"/>
      <c r="L1724" s="131"/>
      <c r="M1724" s="131"/>
      <c r="N1724" s="131"/>
      <c r="O1724" s="131"/>
      <c r="P1724" s="131"/>
      <c r="Q1724" s="131"/>
      <c r="R1724" s="131"/>
      <c r="S1724" s="131"/>
      <c r="T1724" s="131"/>
      <c r="U1724" s="131"/>
      <c r="V1724" s="131"/>
      <c r="W1724" s="131"/>
      <c r="X1724" s="131"/>
      <c r="Y1724" s="131"/>
      <c r="Z1724" s="131"/>
      <c r="AA1724" s="131"/>
      <c r="AB1724" s="131"/>
      <c r="AC1724" s="131"/>
    </row>
    <row r="1725" spans="4:29" x14ac:dyDescent="0.2">
      <c r="D1725" s="131"/>
      <c r="E1725" s="131"/>
      <c r="F1725" s="131"/>
      <c r="G1725" s="131"/>
      <c r="H1725" s="340"/>
      <c r="L1725" s="131"/>
      <c r="M1725" s="131"/>
      <c r="N1725" s="131"/>
      <c r="O1725" s="131"/>
      <c r="P1725" s="131"/>
      <c r="Q1725" s="131"/>
      <c r="R1725" s="131"/>
      <c r="S1725" s="131"/>
      <c r="T1725" s="131"/>
      <c r="U1725" s="131"/>
      <c r="V1725" s="131"/>
      <c r="W1725" s="131"/>
      <c r="X1725" s="131"/>
      <c r="Y1725" s="131"/>
      <c r="Z1725" s="131"/>
      <c r="AA1725" s="131"/>
      <c r="AB1725" s="131"/>
      <c r="AC1725" s="131"/>
    </row>
    <row r="1726" spans="4:29" x14ac:dyDescent="0.2">
      <c r="D1726" s="131"/>
      <c r="E1726" s="131"/>
      <c r="F1726" s="131"/>
      <c r="G1726" s="131"/>
      <c r="H1726" s="340"/>
      <c r="L1726" s="131"/>
      <c r="M1726" s="131"/>
      <c r="N1726" s="131"/>
      <c r="O1726" s="131"/>
      <c r="P1726" s="131"/>
      <c r="Q1726" s="131"/>
      <c r="R1726" s="131"/>
      <c r="S1726" s="131"/>
      <c r="T1726" s="131"/>
      <c r="U1726" s="131"/>
      <c r="V1726" s="131"/>
      <c r="W1726" s="131"/>
      <c r="X1726" s="131"/>
      <c r="Y1726" s="131"/>
      <c r="Z1726" s="131"/>
      <c r="AA1726" s="131"/>
      <c r="AB1726" s="131"/>
      <c r="AC1726" s="131"/>
    </row>
    <row r="1727" spans="4:29" x14ac:dyDescent="0.2">
      <c r="D1727" s="131"/>
      <c r="E1727" s="131"/>
      <c r="F1727" s="131"/>
      <c r="G1727" s="131"/>
      <c r="H1727" s="340"/>
      <c r="L1727" s="131"/>
      <c r="M1727" s="131"/>
      <c r="N1727" s="131"/>
      <c r="O1727" s="131"/>
      <c r="P1727" s="131"/>
      <c r="Q1727" s="131"/>
      <c r="R1727" s="131"/>
      <c r="S1727" s="131"/>
      <c r="T1727" s="131"/>
      <c r="U1727" s="131"/>
      <c r="V1727" s="131"/>
      <c r="W1727" s="131"/>
      <c r="X1727" s="131"/>
      <c r="Y1727" s="131"/>
      <c r="Z1727" s="131"/>
      <c r="AA1727" s="131"/>
      <c r="AB1727" s="131"/>
      <c r="AC1727" s="131"/>
    </row>
    <row r="1728" spans="4:29" x14ac:dyDescent="0.2">
      <c r="D1728" s="131"/>
      <c r="E1728" s="131"/>
      <c r="F1728" s="131"/>
      <c r="G1728" s="131"/>
      <c r="H1728" s="340"/>
      <c r="L1728" s="131"/>
      <c r="M1728" s="131"/>
      <c r="N1728" s="131"/>
      <c r="O1728" s="131"/>
      <c r="P1728" s="131"/>
      <c r="Q1728" s="131"/>
      <c r="R1728" s="131"/>
      <c r="S1728" s="131"/>
      <c r="T1728" s="131"/>
      <c r="U1728" s="131"/>
      <c r="V1728" s="131"/>
      <c r="W1728" s="131"/>
      <c r="X1728" s="131"/>
      <c r="Y1728" s="131"/>
      <c r="Z1728" s="131"/>
      <c r="AA1728" s="131"/>
      <c r="AB1728" s="131"/>
      <c r="AC1728" s="131"/>
    </row>
    <row r="1729" spans="4:29" x14ac:dyDescent="0.2">
      <c r="D1729" s="131"/>
      <c r="E1729" s="131"/>
      <c r="F1729" s="131"/>
      <c r="G1729" s="131"/>
      <c r="H1729" s="340"/>
      <c r="L1729" s="131"/>
      <c r="M1729" s="131"/>
      <c r="N1729" s="131"/>
      <c r="O1729" s="131"/>
      <c r="P1729" s="131"/>
      <c r="Q1729" s="131"/>
      <c r="R1729" s="131"/>
      <c r="S1729" s="131"/>
      <c r="T1729" s="131"/>
      <c r="U1729" s="131"/>
      <c r="V1729" s="131"/>
      <c r="W1729" s="131"/>
      <c r="X1729" s="131"/>
      <c r="Y1729" s="131"/>
      <c r="Z1729" s="131"/>
      <c r="AA1729" s="131"/>
      <c r="AB1729" s="131"/>
      <c r="AC1729" s="131"/>
    </row>
    <row r="1730" spans="4:29" x14ac:dyDescent="0.2">
      <c r="D1730" s="131"/>
      <c r="E1730" s="131"/>
      <c r="F1730" s="131"/>
      <c r="G1730" s="131"/>
      <c r="H1730" s="340"/>
      <c r="L1730" s="131"/>
      <c r="M1730" s="131"/>
      <c r="N1730" s="131"/>
      <c r="O1730" s="131"/>
      <c r="P1730" s="131"/>
      <c r="Q1730" s="131"/>
      <c r="R1730" s="131"/>
      <c r="S1730" s="131"/>
      <c r="T1730" s="131"/>
      <c r="U1730" s="131"/>
      <c r="V1730" s="131"/>
      <c r="W1730" s="131"/>
      <c r="X1730" s="131"/>
      <c r="Y1730" s="131"/>
      <c r="Z1730" s="131"/>
      <c r="AA1730" s="131"/>
      <c r="AB1730" s="131"/>
      <c r="AC1730" s="131"/>
    </row>
    <row r="1731" spans="4:29" x14ac:dyDescent="0.2">
      <c r="D1731" s="131"/>
      <c r="E1731" s="131"/>
      <c r="F1731" s="131"/>
      <c r="G1731" s="131"/>
      <c r="H1731" s="340"/>
      <c r="L1731" s="131"/>
      <c r="M1731" s="131"/>
      <c r="N1731" s="131"/>
      <c r="O1731" s="131"/>
      <c r="P1731" s="131"/>
      <c r="Q1731" s="131"/>
      <c r="R1731" s="131"/>
      <c r="S1731" s="131"/>
      <c r="T1731" s="131"/>
      <c r="U1731" s="131"/>
      <c r="V1731" s="131"/>
      <c r="W1731" s="131"/>
      <c r="X1731" s="131"/>
      <c r="Y1731" s="131"/>
      <c r="Z1731" s="131"/>
      <c r="AA1731" s="131"/>
      <c r="AB1731" s="131"/>
      <c r="AC1731" s="131"/>
    </row>
    <row r="1732" spans="4:29" x14ac:dyDescent="0.2">
      <c r="D1732" s="131"/>
      <c r="E1732" s="131"/>
      <c r="F1732" s="131"/>
      <c r="G1732" s="131"/>
      <c r="H1732" s="340"/>
      <c r="L1732" s="131"/>
      <c r="M1732" s="131"/>
      <c r="N1732" s="131"/>
      <c r="O1732" s="131"/>
      <c r="P1732" s="131"/>
      <c r="Q1732" s="131"/>
      <c r="R1732" s="131"/>
      <c r="S1732" s="131"/>
      <c r="T1732" s="131"/>
      <c r="U1732" s="131"/>
      <c r="V1732" s="131"/>
      <c r="W1732" s="131"/>
      <c r="X1732" s="131"/>
      <c r="Y1732" s="131"/>
      <c r="Z1732" s="131"/>
      <c r="AA1732" s="131"/>
      <c r="AB1732" s="131"/>
      <c r="AC1732" s="131"/>
    </row>
    <row r="1733" spans="4:29" x14ac:dyDescent="0.2">
      <c r="D1733" s="131"/>
      <c r="E1733" s="131"/>
      <c r="F1733" s="131"/>
      <c r="G1733" s="131"/>
      <c r="H1733" s="340"/>
      <c r="L1733" s="131"/>
      <c r="M1733" s="131"/>
      <c r="N1733" s="131"/>
      <c r="O1733" s="131"/>
      <c r="P1733" s="131"/>
      <c r="Q1733" s="131"/>
      <c r="R1733" s="131"/>
      <c r="S1733" s="131"/>
      <c r="T1733" s="131"/>
      <c r="U1733" s="131"/>
      <c r="V1733" s="131"/>
      <c r="W1733" s="131"/>
      <c r="X1733" s="131"/>
      <c r="Y1733" s="131"/>
      <c r="Z1733" s="131"/>
      <c r="AA1733" s="131"/>
      <c r="AB1733" s="131"/>
      <c r="AC1733" s="131"/>
    </row>
    <row r="1734" spans="4:29" x14ac:dyDescent="0.2">
      <c r="D1734" s="131"/>
      <c r="E1734" s="131"/>
      <c r="F1734" s="131"/>
      <c r="G1734" s="131"/>
      <c r="H1734" s="340"/>
      <c r="L1734" s="131"/>
      <c r="M1734" s="131"/>
      <c r="N1734" s="131"/>
      <c r="O1734" s="131"/>
      <c r="P1734" s="131"/>
      <c r="Q1734" s="131"/>
      <c r="R1734" s="131"/>
      <c r="S1734" s="131"/>
      <c r="T1734" s="131"/>
      <c r="U1734" s="131"/>
      <c r="V1734" s="131"/>
      <c r="W1734" s="131"/>
      <c r="X1734" s="131"/>
      <c r="Y1734" s="131"/>
      <c r="Z1734" s="131"/>
      <c r="AA1734" s="131"/>
      <c r="AB1734" s="131"/>
      <c r="AC1734" s="131"/>
    </row>
    <row r="1735" spans="4:29" x14ac:dyDescent="0.2">
      <c r="D1735" s="131"/>
      <c r="E1735" s="131"/>
      <c r="F1735" s="131"/>
      <c r="G1735" s="131"/>
      <c r="H1735" s="340"/>
      <c r="L1735" s="131"/>
      <c r="M1735" s="131"/>
      <c r="N1735" s="131"/>
      <c r="O1735" s="131"/>
      <c r="P1735" s="131"/>
      <c r="Q1735" s="131"/>
      <c r="R1735" s="131"/>
      <c r="S1735" s="131"/>
      <c r="T1735" s="131"/>
      <c r="U1735" s="131"/>
      <c r="V1735" s="131"/>
      <c r="W1735" s="131"/>
      <c r="X1735" s="131"/>
      <c r="Y1735" s="131"/>
      <c r="Z1735" s="131"/>
      <c r="AA1735" s="131"/>
      <c r="AB1735" s="131"/>
      <c r="AC1735" s="131"/>
    </row>
    <row r="1736" spans="4:29" x14ac:dyDescent="0.2">
      <c r="D1736" s="131"/>
      <c r="E1736" s="131"/>
      <c r="F1736" s="131"/>
      <c r="G1736" s="131"/>
      <c r="H1736" s="340"/>
      <c r="L1736" s="131"/>
      <c r="M1736" s="131"/>
      <c r="N1736" s="131"/>
      <c r="O1736" s="131"/>
      <c r="P1736" s="131"/>
      <c r="Q1736" s="131"/>
      <c r="R1736" s="131"/>
      <c r="S1736" s="131"/>
      <c r="T1736" s="131"/>
      <c r="U1736" s="131"/>
      <c r="V1736" s="131"/>
      <c r="W1736" s="131"/>
      <c r="X1736" s="131"/>
      <c r="Y1736" s="131"/>
      <c r="Z1736" s="131"/>
      <c r="AA1736" s="131"/>
      <c r="AB1736" s="131"/>
      <c r="AC1736" s="131"/>
    </row>
    <row r="1737" spans="4:29" x14ac:dyDescent="0.2">
      <c r="D1737" s="131"/>
      <c r="E1737" s="131"/>
      <c r="F1737" s="131"/>
      <c r="G1737" s="131"/>
      <c r="H1737" s="340"/>
      <c r="L1737" s="131"/>
      <c r="M1737" s="131"/>
      <c r="N1737" s="131"/>
      <c r="O1737" s="131"/>
      <c r="P1737" s="131"/>
      <c r="Q1737" s="131"/>
      <c r="R1737" s="131"/>
      <c r="S1737" s="131"/>
      <c r="T1737" s="131"/>
      <c r="U1737" s="131"/>
      <c r="V1737" s="131"/>
      <c r="W1737" s="131"/>
      <c r="X1737" s="131"/>
      <c r="Y1737" s="131"/>
      <c r="Z1737" s="131"/>
      <c r="AA1737" s="131"/>
      <c r="AB1737" s="131"/>
      <c r="AC1737" s="131"/>
    </row>
    <row r="1738" spans="4:29" x14ac:dyDescent="0.2">
      <c r="D1738" s="131"/>
      <c r="E1738" s="131"/>
      <c r="F1738" s="131"/>
      <c r="G1738" s="131"/>
      <c r="H1738" s="340"/>
      <c r="L1738" s="131"/>
      <c r="M1738" s="131"/>
      <c r="N1738" s="131"/>
      <c r="O1738" s="131"/>
      <c r="P1738" s="131"/>
      <c r="Q1738" s="131"/>
      <c r="R1738" s="131"/>
      <c r="S1738" s="131"/>
      <c r="T1738" s="131"/>
      <c r="U1738" s="131"/>
      <c r="V1738" s="131"/>
      <c r="W1738" s="131"/>
      <c r="X1738" s="131"/>
      <c r="Y1738" s="131"/>
      <c r="Z1738" s="131"/>
      <c r="AA1738" s="131"/>
      <c r="AB1738" s="131"/>
      <c r="AC1738" s="131"/>
    </row>
    <row r="1739" spans="4:29" x14ac:dyDescent="0.2">
      <c r="D1739" s="131"/>
      <c r="E1739" s="131"/>
      <c r="F1739" s="131"/>
      <c r="G1739" s="131"/>
      <c r="H1739" s="340"/>
      <c r="L1739" s="131"/>
      <c r="M1739" s="131"/>
      <c r="N1739" s="131"/>
      <c r="O1739" s="131"/>
      <c r="P1739" s="131"/>
      <c r="Q1739" s="131"/>
      <c r="R1739" s="131"/>
      <c r="S1739" s="131"/>
      <c r="T1739" s="131"/>
      <c r="U1739" s="131"/>
      <c r="V1739" s="131"/>
      <c r="W1739" s="131"/>
      <c r="X1739" s="131"/>
      <c r="Y1739" s="131"/>
      <c r="Z1739" s="131"/>
      <c r="AA1739" s="131"/>
      <c r="AB1739" s="131"/>
      <c r="AC1739" s="131"/>
    </row>
    <row r="1740" spans="4:29" x14ac:dyDescent="0.2">
      <c r="D1740" s="131"/>
      <c r="E1740" s="131"/>
      <c r="F1740" s="131"/>
      <c r="G1740" s="131"/>
      <c r="H1740" s="340"/>
      <c r="L1740" s="131"/>
      <c r="M1740" s="131"/>
      <c r="N1740" s="131"/>
      <c r="O1740" s="131"/>
      <c r="P1740" s="131"/>
      <c r="Q1740" s="131"/>
      <c r="R1740" s="131"/>
      <c r="S1740" s="131"/>
      <c r="T1740" s="131"/>
      <c r="U1740" s="131"/>
      <c r="V1740" s="131"/>
      <c r="W1740" s="131"/>
      <c r="X1740" s="131"/>
      <c r="Y1740" s="131"/>
      <c r="Z1740" s="131"/>
      <c r="AA1740" s="131"/>
      <c r="AB1740" s="131"/>
      <c r="AC1740" s="131"/>
    </row>
    <row r="1741" spans="4:29" x14ac:dyDescent="0.2">
      <c r="D1741" s="131"/>
      <c r="E1741" s="131"/>
      <c r="F1741" s="131"/>
      <c r="G1741" s="131"/>
      <c r="H1741" s="340"/>
      <c r="L1741" s="131"/>
      <c r="M1741" s="131"/>
      <c r="N1741" s="131"/>
      <c r="O1741" s="131"/>
      <c r="P1741" s="131"/>
      <c r="Q1741" s="131"/>
      <c r="R1741" s="131"/>
      <c r="S1741" s="131"/>
      <c r="T1741" s="131"/>
      <c r="U1741" s="131"/>
      <c r="V1741" s="131"/>
      <c r="W1741" s="131"/>
      <c r="X1741" s="131"/>
      <c r="Y1741" s="131"/>
      <c r="Z1741" s="131"/>
      <c r="AA1741" s="131"/>
      <c r="AB1741" s="131"/>
      <c r="AC1741" s="131"/>
    </row>
    <row r="1742" spans="4:29" x14ac:dyDescent="0.2">
      <c r="D1742" s="131"/>
      <c r="E1742" s="131"/>
      <c r="F1742" s="131"/>
      <c r="G1742" s="131"/>
      <c r="H1742" s="340"/>
      <c r="L1742" s="131"/>
      <c r="M1742" s="131"/>
      <c r="N1742" s="131"/>
      <c r="O1742" s="131"/>
      <c r="P1742" s="131"/>
      <c r="Q1742" s="131"/>
      <c r="R1742" s="131"/>
      <c r="S1742" s="131"/>
      <c r="T1742" s="131"/>
      <c r="U1742" s="131"/>
      <c r="V1742" s="131"/>
      <c r="W1742" s="131"/>
      <c r="X1742" s="131"/>
      <c r="Y1742" s="131"/>
      <c r="Z1742" s="131"/>
      <c r="AA1742" s="131"/>
      <c r="AB1742" s="131"/>
      <c r="AC1742" s="131"/>
    </row>
    <row r="1743" spans="4:29" x14ac:dyDescent="0.2">
      <c r="D1743" s="131"/>
      <c r="E1743" s="131"/>
      <c r="F1743" s="131"/>
      <c r="G1743" s="131"/>
      <c r="H1743" s="340"/>
      <c r="L1743" s="131"/>
      <c r="M1743" s="131"/>
      <c r="N1743" s="131"/>
      <c r="O1743" s="131"/>
      <c r="P1743" s="131"/>
      <c r="Q1743" s="131"/>
      <c r="R1743" s="131"/>
      <c r="S1743" s="131"/>
      <c r="T1743" s="131"/>
      <c r="U1743" s="131"/>
      <c r="V1743" s="131"/>
      <c r="W1743" s="131"/>
      <c r="X1743" s="131"/>
      <c r="Y1743" s="131"/>
      <c r="Z1743" s="131"/>
      <c r="AA1743" s="131"/>
      <c r="AB1743" s="131"/>
      <c r="AC1743" s="131"/>
    </row>
    <row r="1744" spans="4:29" x14ac:dyDescent="0.2">
      <c r="D1744" s="131"/>
      <c r="E1744" s="131"/>
      <c r="F1744" s="131"/>
      <c r="G1744" s="131"/>
      <c r="H1744" s="340"/>
      <c r="L1744" s="131"/>
      <c r="M1744" s="131"/>
      <c r="N1744" s="131"/>
      <c r="O1744" s="131"/>
      <c r="P1744" s="131"/>
      <c r="Q1744" s="131"/>
      <c r="R1744" s="131"/>
      <c r="S1744" s="131"/>
      <c r="T1744" s="131"/>
      <c r="U1744" s="131"/>
      <c r="V1744" s="131"/>
      <c r="W1744" s="131"/>
      <c r="X1744" s="131"/>
      <c r="Y1744" s="131"/>
      <c r="Z1744" s="131"/>
      <c r="AA1744" s="131"/>
      <c r="AB1744" s="131"/>
      <c r="AC1744" s="131"/>
    </row>
    <row r="1745" spans="4:29" x14ac:dyDescent="0.2">
      <c r="D1745" s="131"/>
      <c r="E1745" s="131"/>
      <c r="F1745" s="131"/>
      <c r="G1745" s="131"/>
      <c r="H1745" s="340"/>
      <c r="L1745" s="131"/>
      <c r="M1745" s="131"/>
      <c r="N1745" s="131"/>
      <c r="O1745" s="131"/>
      <c r="P1745" s="131"/>
      <c r="Q1745" s="131"/>
      <c r="R1745" s="131"/>
      <c r="S1745" s="131"/>
      <c r="T1745" s="131"/>
      <c r="U1745" s="131"/>
      <c r="V1745" s="131"/>
      <c r="W1745" s="131"/>
      <c r="X1745" s="131"/>
      <c r="Y1745" s="131"/>
      <c r="Z1745" s="131"/>
      <c r="AA1745" s="131"/>
      <c r="AB1745" s="131"/>
      <c r="AC1745" s="131"/>
    </row>
    <row r="1746" spans="4:29" x14ac:dyDescent="0.2">
      <c r="D1746" s="131"/>
      <c r="E1746" s="131"/>
      <c r="F1746" s="131"/>
      <c r="G1746" s="131"/>
      <c r="H1746" s="340"/>
      <c r="L1746" s="131"/>
      <c r="M1746" s="131"/>
      <c r="N1746" s="131"/>
      <c r="O1746" s="131"/>
      <c r="P1746" s="131"/>
      <c r="Q1746" s="131"/>
      <c r="R1746" s="131"/>
      <c r="S1746" s="131"/>
      <c r="T1746" s="131"/>
      <c r="U1746" s="131"/>
      <c r="V1746" s="131"/>
      <c r="W1746" s="131"/>
      <c r="X1746" s="131"/>
      <c r="Y1746" s="131"/>
      <c r="Z1746" s="131"/>
      <c r="AA1746" s="131"/>
      <c r="AB1746" s="131"/>
      <c r="AC1746" s="131"/>
    </row>
    <row r="1747" spans="4:29" x14ac:dyDescent="0.2">
      <c r="D1747" s="131"/>
      <c r="E1747" s="131"/>
      <c r="F1747" s="131"/>
      <c r="G1747" s="131"/>
      <c r="H1747" s="340"/>
      <c r="L1747" s="131"/>
      <c r="M1747" s="131"/>
      <c r="N1747" s="131"/>
      <c r="O1747" s="131"/>
      <c r="P1747" s="131"/>
      <c r="Q1747" s="131"/>
      <c r="R1747" s="131"/>
      <c r="S1747" s="131"/>
      <c r="T1747" s="131"/>
      <c r="U1747" s="131"/>
      <c r="V1747" s="131"/>
      <c r="W1747" s="131"/>
      <c r="X1747" s="131"/>
      <c r="Y1747" s="131"/>
      <c r="Z1747" s="131"/>
      <c r="AA1747" s="131"/>
      <c r="AB1747" s="131"/>
      <c r="AC1747" s="131"/>
    </row>
    <row r="1748" spans="4:29" x14ac:dyDescent="0.2">
      <c r="D1748" s="131"/>
      <c r="E1748" s="131"/>
      <c r="F1748" s="131"/>
      <c r="G1748" s="131"/>
      <c r="H1748" s="340"/>
      <c r="L1748" s="131"/>
      <c r="M1748" s="131"/>
      <c r="N1748" s="131"/>
      <c r="O1748" s="131"/>
      <c r="P1748" s="131"/>
      <c r="Q1748" s="131"/>
      <c r="R1748" s="131"/>
      <c r="S1748" s="131"/>
      <c r="T1748" s="131"/>
      <c r="U1748" s="131"/>
      <c r="V1748" s="131"/>
      <c r="W1748" s="131"/>
      <c r="X1748" s="131"/>
      <c r="Y1748" s="131"/>
      <c r="Z1748" s="131"/>
      <c r="AA1748" s="131"/>
      <c r="AB1748" s="131"/>
      <c r="AC1748" s="131"/>
    </row>
    <row r="1749" spans="4:29" x14ac:dyDescent="0.2">
      <c r="D1749" s="131"/>
      <c r="E1749" s="131"/>
      <c r="F1749" s="131"/>
      <c r="G1749" s="131"/>
      <c r="H1749" s="340"/>
      <c r="L1749" s="131"/>
      <c r="M1749" s="131"/>
      <c r="N1749" s="131"/>
      <c r="O1749" s="131"/>
      <c r="P1749" s="131"/>
      <c r="Q1749" s="131"/>
      <c r="R1749" s="131"/>
      <c r="S1749" s="131"/>
      <c r="T1749" s="131"/>
      <c r="U1749" s="131"/>
      <c r="V1749" s="131"/>
      <c r="W1749" s="131"/>
      <c r="X1749" s="131"/>
      <c r="Y1749" s="131"/>
      <c r="Z1749" s="131"/>
      <c r="AA1749" s="131"/>
      <c r="AB1749" s="131"/>
      <c r="AC1749" s="131"/>
    </row>
    <row r="1750" spans="4:29" x14ac:dyDescent="0.2">
      <c r="D1750" s="131"/>
      <c r="E1750" s="131"/>
      <c r="F1750" s="131"/>
      <c r="G1750" s="131"/>
      <c r="H1750" s="340"/>
      <c r="L1750" s="131"/>
      <c r="M1750" s="131"/>
      <c r="N1750" s="131"/>
      <c r="O1750" s="131"/>
      <c r="P1750" s="131"/>
      <c r="Q1750" s="131"/>
      <c r="R1750" s="131"/>
      <c r="S1750" s="131"/>
      <c r="T1750" s="131"/>
      <c r="U1750" s="131"/>
      <c r="V1750" s="131"/>
      <c r="W1750" s="131"/>
      <c r="X1750" s="131"/>
      <c r="Y1750" s="131"/>
      <c r="Z1750" s="131"/>
      <c r="AA1750" s="131"/>
      <c r="AB1750" s="131"/>
      <c r="AC1750" s="131"/>
    </row>
    <row r="1751" spans="4:29" x14ac:dyDescent="0.2">
      <c r="D1751" s="131"/>
      <c r="E1751" s="131"/>
      <c r="F1751" s="131"/>
      <c r="G1751" s="131"/>
      <c r="H1751" s="340"/>
      <c r="L1751" s="131"/>
      <c r="M1751" s="131"/>
      <c r="N1751" s="131"/>
      <c r="O1751" s="131"/>
      <c r="P1751" s="131"/>
      <c r="Q1751" s="131"/>
      <c r="R1751" s="131"/>
      <c r="S1751" s="131"/>
      <c r="T1751" s="131"/>
      <c r="U1751" s="131"/>
      <c r="V1751" s="131"/>
      <c r="W1751" s="131"/>
      <c r="X1751" s="131"/>
      <c r="Y1751" s="131"/>
      <c r="Z1751" s="131"/>
      <c r="AA1751" s="131"/>
      <c r="AB1751" s="131"/>
      <c r="AC1751" s="131"/>
    </row>
    <row r="1752" spans="4:29" x14ac:dyDescent="0.2">
      <c r="D1752" s="131"/>
      <c r="E1752" s="131"/>
      <c r="F1752" s="131"/>
      <c r="G1752" s="131"/>
      <c r="H1752" s="340"/>
      <c r="L1752" s="131"/>
      <c r="M1752" s="131"/>
      <c r="N1752" s="131"/>
      <c r="O1752" s="131"/>
      <c r="P1752" s="131"/>
      <c r="Q1752" s="131"/>
      <c r="R1752" s="131"/>
      <c r="S1752" s="131"/>
      <c r="T1752" s="131"/>
      <c r="U1752" s="131"/>
      <c r="V1752" s="131"/>
      <c r="W1752" s="131"/>
      <c r="X1752" s="131"/>
      <c r="Y1752" s="131"/>
      <c r="Z1752" s="131"/>
      <c r="AA1752" s="131"/>
      <c r="AB1752" s="131"/>
      <c r="AC1752" s="131"/>
    </row>
    <row r="1753" spans="4:29" x14ac:dyDescent="0.2">
      <c r="D1753" s="131"/>
      <c r="E1753" s="131"/>
      <c r="F1753" s="131"/>
      <c r="G1753" s="131"/>
      <c r="H1753" s="340"/>
      <c r="L1753" s="131"/>
      <c r="M1753" s="131"/>
      <c r="N1753" s="131"/>
      <c r="O1753" s="131"/>
      <c r="P1753" s="131"/>
      <c r="Q1753" s="131"/>
      <c r="R1753" s="131"/>
      <c r="S1753" s="131"/>
      <c r="T1753" s="131"/>
      <c r="U1753" s="131"/>
      <c r="V1753" s="131"/>
      <c r="W1753" s="131"/>
      <c r="X1753" s="131"/>
      <c r="Y1753" s="131"/>
      <c r="Z1753" s="131"/>
      <c r="AA1753" s="131"/>
      <c r="AB1753" s="131"/>
      <c r="AC1753" s="131"/>
    </row>
    <row r="1754" spans="4:29" x14ac:dyDescent="0.2">
      <c r="D1754" s="131"/>
      <c r="E1754" s="131"/>
      <c r="F1754" s="131"/>
      <c r="G1754" s="131"/>
      <c r="H1754" s="340"/>
      <c r="L1754" s="131"/>
      <c r="M1754" s="131"/>
      <c r="N1754" s="131"/>
      <c r="O1754" s="131"/>
      <c r="P1754" s="131"/>
      <c r="Q1754" s="131"/>
      <c r="R1754" s="131"/>
      <c r="S1754" s="131"/>
      <c r="T1754" s="131"/>
      <c r="U1754" s="131"/>
      <c r="V1754" s="131"/>
      <c r="W1754" s="131"/>
      <c r="X1754" s="131"/>
      <c r="Y1754" s="131"/>
      <c r="Z1754" s="131"/>
      <c r="AA1754" s="131"/>
      <c r="AB1754" s="131"/>
      <c r="AC1754" s="131"/>
    </row>
    <row r="1755" spans="4:29" x14ac:dyDescent="0.2">
      <c r="D1755" s="131"/>
      <c r="E1755" s="131"/>
      <c r="F1755" s="131"/>
      <c r="G1755" s="131"/>
      <c r="H1755" s="340"/>
      <c r="L1755" s="131"/>
      <c r="M1755" s="131"/>
      <c r="N1755" s="131"/>
      <c r="O1755" s="131"/>
      <c r="P1755" s="131"/>
      <c r="Q1755" s="131"/>
      <c r="R1755" s="131"/>
      <c r="S1755" s="131"/>
      <c r="T1755" s="131"/>
      <c r="U1755" s="131"/>
      <c r="V1755" s="131"/>
      <c r="W1755" s="131"/>
      <c r="X1755" s="131"/>
      <c r="Y1755" s="131"/>
      <c r="Z1755" s="131"/>
      <c r="AA1755" s="131"/>
      <c r="AB1755" s="131"/>
      <c r="AC1755" s="131"/>
    </row>
    <row r="1756" spans="4:29" x14ac:dyDescent="0.2">
      <c r="D1756" s="131"/>
      <c r="E1756" s="131"/>
      <c r="F1756" s="131"/>
      <c r="G1756" s="131"/>
      <c r="H1756" s="340"/>
      <c r="L1756" s="131"/>
      <c r="M1756" s="131"/>
      <c r="N1756" s="131"/>
      <c r="O1756" s="131"/>
      <c r="P1756" s="131"/>
      <c r="Q1756" s="131"/>
      <c r="R1756" s="131"/>
      <c r="S1756" s="131"/>
      <c r="T1756" s="131"/>
      <c r="U1756" s="131"/>
      <c r="V1756" s="131"/>
      <c r="W1756" s="131"/>
      <c r="X1756" s="131"/>
      <c r="Y1756" s="131"/>
      <c r="Z1756" s="131"/>
      <c r="AA1756" s="131"/>
      <c r="AB1756" s="131"/>
      <c r="AC1756" s="131"/>
    </row>
    <row r="1757" spans="4:29" x14ac:dyDescent="0.2">
      <c r="D1757" s="131"/>
      <c r="E1757" s="131"/>
      <c r="F1757" s="131"/>
      <c r="G1757" s="131"/>
      <c r="H1757" s="340"/>
      <c r="L1757" s="131"/>
      <c r="M1757" s="131"/>
      <c r="N1757" s="131"/>
      <c r="O1757" s="131"/>
      <c r="P1757" s="131"/>
      <c r="Q1757" s="131"/>
      <c r="R1757" s="131"/>
      <c r="S1757" s="131"/>
      <c r="T1757" s="131"/>
      <c r="U1757" s="131"/>
      <c r="V1757" s="131"/>
      <c r="W1757" s="131"/>
      <c r="X1757" s="131"/>
      <c r="Y1757" s="131"/>
      <c r="Z1757" s="131"/>
      <c r="AA1757" s="131"/>
      <c r="AB1757" s="131"/>
      <c r="AC1757" s="131"/>
    </row>
    <row r="1758" spans="4:29" x14ac:dyDescent="0.2">
      <c r="D1758" s="131"/>
      <c r="E1758" s="131"/>
      <c r="F1758" s="131"/>
      <c r="G1758" s="131"/>
      <c r="H1758" s="340"/>
      <c r="L1758" s="131"/>
      <c r="M1758" s="131"/>
      <c r="N1758" s="131"/>
      <c r="O1758" s="131"/>
      <c r="P1758" s="131"/>
      <c r="Q1758" s="131"/>
      <c r="R1758" s="131"/>
      <c r="S1758" s="131"/>
      <c r="T1758" s="131"/>
      <c r="U1758" s="131"/>
      <c r="V1758" s="131"/>
      <c r="W1758" s="131"/>
      <c r="X1758" s="131"/>
      <c r="Y1758" s="131"/>
      <c r="Z1758" s="131"/>
      <c r="AA1758" s="131"/>
      <c r="AB1758" s="131"/>
      <c r="AC1758" s="131"/>
    </row>
    <row r="1759" spans="4:29" x14ac:dyDescent="0.2">
      <c r="D1759" s="131"/>
      <c r="E1759" s="131"/>
      <c r="F1759" s="131"/>
      <c r="G1759" s="131"/>
      <c r="H1759" s="340"/>
      <c r="L1759" s="131"/>
      <c r="M1759" s="131"/>
      <c r="N1759" s="131"/>
      <c r="O1759" s="131"/>
      <c r="P1759" s="131"/>
      <c r="Q1759" s="131"/>
      <c r="R1759" s="131"/>
      <c r="S1759" s="131"/>
      <c r="T1759" s="131"/>
      <c r="U1759" s="131"/>
      <c r="V1759" s="131"/>
      <c r="W1759" s="131"/>
      <c r="X1759" s="131"/>
      <c r="Y1759" s="131"/>
      <c r="Z1759" s="131"/>
      <c r="AA1759" s="131"/>
      <c r="AB1759" s="131"/>
      <c r="AC1759" s="131"/>
    </row>
    <row r="1760" spans="4:29" x14ac:dyDescent="0.2">
      <c r="D1760" s="131"/>
      <c r="E1760" s="131"/>
      <c r="F1760" s="131"/>
      <c r="G1760" s="131"/>
      <c r="H1760" s="340"/>
      <c r="L1760" s="131"/>
      <c r="M1760" s="131"/>
      <c r="N1760" s="131"/>
      <c r="O1760" s="131"/>
      <c r="P1760" s="131"/>
      <c r="Q1760" s="131"/>
      <c r="R1760" s="131"/>
      <c r="S1760" s="131"/>
      <c r="T1760" s="131"/>
      <c r="U1760" s="131"/>
      <c r="V1760" s="131"/>
      <c r="W1760" s="131"/>
      <c r="X1760" s="131"/>
      <c r="Y1760" s="131"/>
      <c r="Z1760" s="131"/>
      <c r="AA1760" s="131"/>
      <c r="AB1760" s="131"/>
      <c r="AC1760" s="131"/>
    </row>
    <row r="1761" spans="4:29" x14ac:dyDescent="0.2">
      <c r="D1761" s="131"/>
      <c r="E1761" s="131"/>
      <c r="F1761" s="131"/>
      <c r="G1761" s="131"/>
      <c r="H1761" s="340"/>
      <c r="L1761" s="131"/>
      <c r="M1761" s="131"/>
      <c r="N1761" s="131"/>
      <c r="O1761" s="131"/>
      <c r="P1761" s="131"/>
      <c r="Q1761" s="131"/>
      <c r="R1761" s="131"/>
      <c r="S1761" s="131"/>
      <c r="T1761" s="131"/>
      <c r="U1761" s="131"/>
      <c r="V1761" s="131"/>
      <c r="W1761" s="131"/>
      <c r="X1761" s="131"/>
      <c r="Y1761" s="131"/>
      <c r="Z1761" s="131"/>
      <c r="AA1761" s="131"/>
      <c r="AB1761" s="131"/>
      <c r="AC1761" s="131"/>
    </row>
    <row r="1762" spans="4:29" x14ac:dyDescent="0.2">
      <c r="D1762" s="131"/>
      <c r="E1762" s="131"/>
      <c r="F1762" s="131"/>
      <c r="G1762" s="131"/>
      <c r="H1762" s="340"/>
      <c r="L1762" s="131"/>
      <c r="M1762" s="131"/>
      <c r="N1762" s="131"/>
      <c r="O1762" s="131"/>
      <c r="P1762" s="131"/>
      <c r="Q1762" s="131"/>
      <c r="R1762" s="131"/>
      <c r="S1762" s="131"/>
      <c r="T1762" s="131"/>
      <c r="U1762" s="131"/>
      <c r="V1762" s="131"/>
      <c r="W1762" s="131"/>
      <c r="X1762" s="131"/>
      <c r="Y1762" s="131"/>
      <c r="Z1762" s="131"/>
      <c r="AA1762" s="131"/>
      <c r="AB1762" s="131"/>
      <c r="AC1762" s="131"/>
    </row>
    <row r="1763" spans="4:29" x14ac:dyDescent="0.2">
      <c r="D1763" s="131"/>
      <c r="E1763" s="131"/>
      <c r="F1763" s="131"/>
      <c r="G1763" s="131"/>
      <c r="H1763" s="340"/>
      <c r="L1763" s="131"/>
      <c r="M1763" s="131"/>
      <c r="N1763" s="131"/>
      <c r="O1763" s="131"/>
      <c r="P1763" s="131"/>
      <c r="Q1763" s="131"/>
      <c r="R1763" s="131"/>
      <c r="S1763" s="131"/>
      <c r="T1763" s="131"/>
      <c r="U1763" s="131"/>
      <c r="V1763" s="131"/>
      <c r="W1763" s="131"/>
      <c r="X1763" s="131"/>
      <c r="Y1763" s="131"/>
      <c r="Z1763" s="131"/>
      <c r="AA1763" s="131"/>
      <c r="AB1763" s="131"/>
      <c r="AC1763" s="131"/>
    </row>
    <row r="1764" spans="4:29" x14ac:dyDescent="0.2">
      <c r="D1764" s="131"/>
      <c r="E1764" s="131"/>
      <c r="F1764" s="131"/>
      <c r="G1764" s="131"/>
      <c r="H1764" s="340"/>
      <c r="L1764" s="131"/>
      <c r="M1764" s="131"/>
      <c r="N1764" s="131"/>
      <c r="O1764" s="131"/>
      <c r="P1764" s="131"/>
      <c r="Q1764" s="131"/>
      <c r="R1764" s="131"/>
      <c r="S1764" s="131"/>
      <c r="T1764" s="131"/>
      <c r="U1764" s="131"/>
      <c r="V1764" s="131"/>
      <c r="W1764" s="131"/>
      <c r="X1764" s="131"/>
      <c r="Y1764" s="131"/>
      <c r="Z1764" s="131"/>
      <c r="AA1764" s="131"/>
      <c r="AB1764" s="131"/>
      <c r="AC1764" s="131"/>
    </row>
    <row r="1765" spans="4:29" x14ac:dyDescent="0.2">
      <c r="D1765" s="131"/>
      <c r="E1765" s="131"/>
      <c r="F1765" s="131"/>
      <c r="G1765" s="131"/>
      <c r="H1765" s="340"/>
      <c r="L1765" s="131"/>
      <c r="M1765" s="131"/>
      <c r="N1765" s="131"/>
      <c r="O1765" s="131"/>
      <c r="P1765" s="131"/>
      <c r="Q1765" s="131"/>
      <c r="R1765" s="131"/>
      <c r="S1765" s="131"/>
      <c r="T1765" s="131"/>
      <c r="U1765" s="131"/>
      <c r="V1765" s="131"/>
      <c r="W1765" s="131"/>
      <c r="X1765" s="131"/>
      <c r="Y1765" s="131"/>
      <c r="Z1765" s="131"/>
      <c r="AA1765" s="131"/>
      <c r="AB1765" s="131"/>
      <c r="AC1765" s="131"/>
    </row>
    <row r="1766" spans="4:29" x14ac:dyDescent="0.2">
      <c r="D1766" s="131"/>
      <c r="E1766" s="131"/>
      <c r="F1766" s="131"/>
      <c r="G1766" s="131"/>
      <c r="H1766" s="340"/>
      <c r="L1766" s="131"/>
      <c r="M1766" s="131"/>
      <c r="N1766" s="131"/>
      <c r="O1766" s="131"/>
      <c r="P1766" s="131"/>
      <c r="Q1766" s="131"/>
      <c r="R1766" s="131"/>
      <c r="S1766" s="131"/>
      <c r="T1766" s="131"/>
      <c r="U1766" s="131"/>
      <c r="V1766" s="131"/>
      <c r="W1766" s="131"/>
      <c r="X1766" s="131"/>
      <c r="Y1766" s="131"/>
      <c r="Z1766" s="131"/>
      <c r="AA1766" s="131"/>
      <c r="AB1766" s="131"/>
      <c r="AC1766" s="131"/>
    </row>
    <row r="1767" spans="4:29" x14ac:dyDescent="0.2">
      <c r="D1767" s="131"/>
      <c r="E1767" s="131"/>
      <c r="F1767" s="131"/>
      <c r="G1767" s="131"/>
      <c r="H1767" s="340"/>
      <c r="L1767" s="131"/>
      <c r="M1767" s="131"/>
      <c r="N1767" s="131"/>
      <c r="O1767" s="131"/>
      <c r="P1767" s="131"/>
      <c r="Q1767" s="131"/>
      <c r="R1767" s="131"/>
      <c r="S1767" s="131"/>
      <c r="T1767" s="131"/>
      <c r="U1767" s="131"/>
      <c r="V1767" s="131"/>
      <c r="W1767" s="131"/>
      <c r="X1767" s="131"/>
      <c r="Y1767" s="131"/>
      <c r="Z1767" s="131"/>
      <c r="AA1767" s="131"/>
      <c r="AB1767" s="131"/>
      <c r="AC1767" s="131"/>
    </row>
    <row r="1768" spans="4:29" x14ac:dyDescent="0.2">
      <c r="D1768" s="131"/>
      <c r="E1768" s="131"/>
      <c r="F1768" s="131"/>
      <c r="G1768" s="131"/>
      <c r="H1768" s="340"/>
      <c r="L1768" s="131"/>
      <c r="M1768" s="131"/>
      <c r="N1768" s="131"/>
      <c r="O1768" s="131"/>
      <c r="P1768" s="131"/>
      <c r="Q1768" s="131"/>
      <c r="R1768" s="131"/>
      <c r="S1768" s="131"/>
      <c r="T1768" s="131"/>
      <c r="U1768" s="131"/>
      <c r="V1768" s="131"/>
      <c r="W1768" s="131"/>
      <c r="X1768" s="131"/>
      <c r="Y1768" s="131"/>
      <c r="Z1768" s="131"/>
      <c r="AA1768" s="131"/>
      <c r="AB1768" s="131"/>
      <c r="AC1768" s="131"/>
    </row>
    <row r="1769" spans="4:29" x14ac:dyDescent="0.2">
      <c r="D1769" s="131"/>
      <c r="E1769" s="131"/>
      <c r="F1769" s="131"/>
      <c r="G1769" s="131"/>
      <c r="H1769" s="340"/>
      <c r="L1769" s="131"/>
      <c r="M1769" s="131"/>
      <c r="N1769" s="131"/>
      <c r="O1769" s="131"/>
      <c r="P1769" s="131"/>
      <c r="Q1769" s="131"/>
      <c r="R1769" s="131"/>
      <c r="S1769" s="131"/>
      <c r="T1769" s="131"/>
      <c r="U1769" s="131"/>
      <c r="V1769" s="131"/>
      <c r="W1769" s="131"/>
      <c r="X1769" s="131"/>
      <c r="Y1769" s="131"/>
      <c r="Z1769" s="131"/>
      <c r="AA1769" s="131"/>
      <c r="AB1769" s="131"/>
      <c r="AC1769" s="131"/>
    </row>
    <row r="1770" spans="4:29" x14ac:dyDescent="0.2">
      <c r="D1770" s="131"/>
      <c r="E1770" s="131"/>
      <c r="F1770" s="131"/>
      <c r="G1770" s="131"/>
      <c r="H1770" s="340"/>
      <c r="L1770" s="131"/>
      <c r="M1770" s="131"/>
      <c r="N1770" s="131"/>
      <c r="O1770" s="131"/>
      <c r="P1770" s="131"/>
      <c r="Q1770" s="131"/>
      <c r="R1770" s="131"/>
      <c r="S1770" s="131"/>
      <c r="T1770" s="131"/>
      <c r="U1770" s="131"/>
      <c r="V1770" s="131"/>
      <c r="W1770" s="131"/>
      <c r="X1770" s="131"/>
      <c r="Y1770" s="131"/>
      <c r="Z1770" s="131"/>
      <c r="AA1770" s="131"/>
      <c r="AB1770" s="131"/>
      <c r="AC1770" s="131"/>
    </row>
    <row r="1771" spans="4:29" x14ac:dyDescent="0.2">
      <c r="D1771" s="131"/>
      <c r="E1771" s="131"/>
      <c r="F1771" s="131"/>
      <c r="G1771" s="131"/>
      <c r="H1771" s="340"/>
      <c r="L1771" s="131"/>
      <c r="M1771" s="131"/>
      <c r="N1771" s="131"/>
      <c r="O1771" s="131"/>
      <c r="P1771" s="131"/>
      <c r="Q1771" s="131"/>
      <c r="R1771" s="131"/>
      <c r="S1771" s="131"/>
      <c r="T1771" s="131"/>
      <c r="U1771" s="131"/>
      <c r="V1771" s="131"/>
      <c r="W1771" s="131"/>
      <c r="X1771" s="131"/>
      <c r="Y1771" s="131"/>
      <c r="Z1771" s="131"/>
      <c r="AA1771" s="131"/>
      <c r="AB1771" s="131"/>
      <c r="AC1771" s="131"/>
    </row>
    <row r="1772" spans="4:29" x14ac:dyDescent="0.2">
      <c r="D1772" s="131"/>
      <c r="E1772" s="131"/>
      <c r="F1772" s="131"/>
      <c r="G1772" s="131"/>
      <c r="H1772" s="340"/>
      <c r="L1772" s="131"/>
      <c r="M1772" s="131"/>
      <c r="N1772" s="131"/>
      <c r="O1772" s="131"/>
      <c r="P1772" s="131"/>
      <c r="Q1772" s="131"/>
      <c r="R1772" s="131"/>
      <c r="S1772" s="131"/>
      <c r="T1772" s="131"/>
      <c r="U1772" s="131"/>
      <c r="V1772" s="131"/>
      <c r="W1772" s="131"/>
      <c r="X1772" s="131"/>
      <c r="Y1772" s="131"/>
      <c r="Z1772" s="131"/>
      <c r="AA1772" s="131"/>
      <c r="AB1772" s="131"/>
      <c r="AC1772" s="131"/>
    </row>
    <row r="1773" spans="4:29" x14ac:dyDescent="0.2">
      <c r="D1773" s="131"/>
      <c r="E1773" s="131"/>
      <c r="F1773" s="131"/>
      <c r="G1773" s="131"/>
      <c r="H1773" s="340"/>
      <c r="L1773" s="131"/>
      <c r="M1773" s="131"/>
      <c r="N1773" s="131"/>
      <c r="O1773" s="131"/>
      <c r="P1773" s="131"/>
      <c r="Q1773" s="131"/>
      <c r="R1773" s="131"/>
      <c r="S1773" s="131"/>
      <c r="T1773" s="131"/>
      <c r="U1773" s="131"/>
      <c r="V1773" s="131"/>
      <c r="W1773" s="131"/>
      <c r="X1773" s="131"/>
      <c r="Y1773" s="131"/>
      <c r="Z1773" s="131"/>
      <c r="AA1773" s="131"/>
      <c r="AB1773" s="131"/>
      <c r="AC1773" s="131"/>
    </row>
    <row r="1774" spans="4:29" x14ac:dyDescent="0.2">
      <c r="D1774" s="131"/>
      <c r="E1774" s="131"/>
      <c r="F1774" s="131"/>
      <c r="G1774" s="131"/>
      <c r="H1774" s="340"/>
      <c r="L1774" s="131"/>
      <c r="M1774" s="131"/>
      <c r="N1774" s="131"/>
      <c r="O1774" s="131"/>
      <c r="P1774" s="131"/>
      <c r="Q1774" s="131"/>
      <c r="R1774" s="131"/>
      <c r="S1774" s="131"/>
      <c r="T1774" s="131"/>
      <c r="U1774" s="131"/>
      <c r="V1774" s="131"/>
      <c r="W1774" s="131"/>
      <c r="X1774" s="131"/>
      <c r="Y1774" s="131"/>
      <c r="Z1774" s="131"/>
      <c r="AA1774" s="131"/>
      <c r="AB1774" s="131"/>
      <c r="AC1774" s="131"/>
    </row>
    <row r="1775" spans="4:29" x14ac:dyDescent="0.2">
      <c r="D1775" s="131"/>
      <c r="E1775" s="131"/>
      <c r="F1775" s="131"/>
      <c r="G1775" s="131"/>
      <c r="H1775" s="340"/>
      <c r="L1775" s="131"/>
      <c r="M1775" s="131"/>
      <c r="N1775" s="131"/>
      <c r="O1775" s="131"/>
      <c r="P1775" s="131"/>
      <c r="Q1775" s="131"/>
      <c r="R1775" s="131"/>
      <c r="S1775" s="131"/>
      <c r="T1775" s="131"/>
      <c r="U1775" s="131"/>
      <c r="V1775" s="131"/>
      <c r="W1775" s="131"/>
      <c r="X1775" s="131"/>
      <c r="Y1775" s="131"/>
      <c r="Z1775" s="131"/>
      <c r="AA1775" s="131"/>
      <c r="AB1775" s="131"/>
      <c r="AC1775" s="131"/>
    </row>
    <row r="1776" spans="4:29" x14ac:dyDescent="0.2">
      <c r="D1776" s="131"/>
      <c r="E1776" s="131"/>
      <c r="F1776" s="131"/>
      <c r="G1776" s="131"/>
      <c r="H1776" s="340"/>
      <c r="L1776" s="131"/>
      <c r="M1776" s="131"/>
      <c r="N1776" s="131"/>
      <c r="O1776" s="131"/>
      <c r="P1776" s="131"/>
      <c r="Q1776" s="131"/>
      <c r="R1776" s="131"/>
      <c r="S1776" s="131"/>
      <c r="T1776" s="131"/>
      <c r="U1776" s="131"/>
      <c r="V1776" s="131"/>
      <c r="W1776" s="131"/>
      <c r="X1776" s="131"/>
      <c r="Y1776" s="131"/>
      <c r="Z1776" s="131"/>
      <c r="AA1776" s="131"/>
      <c r="AB1776" s="131"/>
      <c r="AC1776" s="131"/>
    </row>
    <row r="1777" spans="4:29" x14ac:dyDescent="0.2">
      <c r="D1777" s="131"/>
      <c r="E1777" s="131"/>
      <c r="F1777" s="131"/>
      <c r="G1777" s="131"/>
      <c r="H1777" s="340"/>
      <c r="L1777" s="131"/>
      <c r="M1777" s="131"/>
      <c r="N1777" s="131"/>
      <c r="O1777" s="131"/>
      <c r="P1777" s="131"/>
      <c r="Q1777" s="131"/>
      <c r="R1777" s="131"/>
      <c r="S1777" s="131"/>
      <c r="T1777" s="131"/>
      <c r="U1777" s="131"/>
      <c r="V1777" s="131"/>
      <c r="W1777" s="131"/>
      <c r="X1777" s="131"/>
      <c r="Y1777" s="131"/>
      <c r="Z1777" s="131"/>
      <c r="AA1777" s="131"/>
      <c r="AB1777" s="131"/>
      <c r="AC1777" s="131"/>
    </row>
    <row r="1778" spans="4:29" x14ac:dyDescent="0.2">
      <c r="D1778" s="131"/>
      <c r="E1778" s="131"/>
      <c r="F1778" s="131"/>
      <c r="G1778" s="131"/>
      <c r="H1778" s="340"/>
      <c r="L1778" s="131"/>
      <c r="M1778" s="131"/>
      <c r="N1778" s="131"/>
      <c r="O1778" s="131"/>
      <c r="P1778" s="131"/>
      <c r="Q1778" s="131"/>
      <c r="R1778" s="131"/>
      <c r="S1778" s="131"/>
      <c r="T1778" s="131"/>
      <c r="U1778" s="131"/>
      <c r="V1778" s="131"/>
      <c r="W1778" s="131"/>
      <c r="X1778" s="131"/>
      <c r="Y1778" s="131"/>
      <c r="Z1778" s="131"/>
      <c r="AA1778" s="131"/>
      <c r="AB1778" s="131"/>
      <c r="AC1778" s="131"/>
    </row>
    <row r="1779" spans="4:29" x14ac:dyDescent="0.2">
      <c r="D1779" s="131"/>
      <c r="E1779" s="131"/>
      <c r="F1779" s="131"/>
      <c r="G1779" s="131"/>
      <c r="H1779" s="340"/>
      <c r="L1779" s="131"/>
      <c r="M1779" s="131"/>
      <c r="N1779" s="131"/>
      <c r="O1779" s="131"/>
      <c r="P1779" s="131"/>
      <c r="Q1779" s="131"/>
      <c r="R1779" s="131"/>
      <c r="S1779" s="131"/>
      <c r="T1779" s="131"/>
      <c r="U1779" s="131"/>
      <c r="V1779" s="131"/>
      <c r="W1779" s="131"/>
      <c r="X1779" s="131"/>
      <c r="Y1779" s="131"/>
      <c r="Z1779" s="131"/>
      <c r="AA1779" s="131"/>
      <c r="AB1779" s="131"/>
      <c r="AC1779" s="131"/>
    </row>
    <row r="1780" spans="4:29" x14ac:dyDescent="0.2">
      <c r="D1780" s="131"/>
      <c r="E1780" s="131"/>
      <c r="F1780" s="131"/>
      <c r="G1780" s="131"/>
      <c r="H1780" s="340"/>
      <c r="L1780" s="131"/>
      <c r="M1780" s="131"/>
      <c r="N1780" s="131"/>
      <c r="O1780" s="131"/>
      <c r="P1780" s="131"/>
      <c r="Q1780" s="131"/>
      <c r="R1780" s="131"/>
      <c r="S1780" s="131"/>
      <c r="T1780" s="131"/>
      <c r="U1780" s="131"/>
      <c r="V1780" s="131"/>
      <c r="W1780" s="131"/>
      <c r="X1780" s="131"/>
      <c r="Y1780" s="131"/>
      <c r="Z1780" s="131"/>
      <c r="AA1780" s="131"/>
      <c r="AB1780" s="131"/>
      <c r="AC1780" s="131"/>
    </row>
    <row r="1781" spans="4:29" x14ac:dyDescent="0.2">
      <c r="D1781" s="131"/>
      <c r="E1781" s="131"/>
      <c r="F1781" s="131"/>
      <c r="G1781" s="131"/>
      <c r="H1781" s="340"/>
      <c r="L1781" s="131"/>
      <c r="M1781" s="131"/>
      <c r="N1781" s="131"/>
      <c r="O1781" s="131"/>
      <c r="P1781" s="131"/>
      <c r="Q1781" s="131"/>
      <c r="R1781" s="131"/>
      <c r="S1781" s="131"/>
      <c r="T1781" s="131"/>
      <c r="U1781" s="131"/>
      <c r="V1781" s="131"/>
      <c r="W1781" s="131"/>
      <c r="X1781" s="131"/>
      <c r="Y1781" s="131"/>
      <c r="Z1781" s="131"/>
      <c r="AA1781" s="131"/>
      <c r="AB1781" s="131"/>
      <c r="AC1781" s="131"/>
    </row>
    <row r="1782" spans="4:29" x14ac:dyDescent="0.2">
      <c r="D1782" s="131"/>
      <c r="E1782" s="131"/>
      <c r="F1782" s="131"/>
      <c r="G1782" s="131"/>
      <c r="H1782" s="340"/>
      <c r="L1782" s="131"/>
      <c r="M1782" s="131"/>
      <c r="N1782" s="131"/>
      <c r="O1782" s="131"/>
      <c r="P1782" s="131"/>
      <c r="Q1782" s="131"/>
      <c r="R1782" s="131"/>
      <c r="S1782" s="131"/>
      <c r="T1782" s="131"/>
      <c r="U1782" s="131"/>
      <c r="V1782" s="131"/>
      <c r="W1782" s="131"/>
      <c r="X1782" s="131"/>
      <c r="Y1782" s="131"/>
      <c r="Z1782" s="131"/>
      <c r="AA1782" s="131"/>
      <c r="AB1782" s="131"/>
      <c r="AC1782" s="131"/>
    </row>
    <row r="1783" spans="4:29" x14ac:dyDescent="0.2">
      <c r="D1783" s="131"/>
      <c r="E1783" s="131"/>
      <c r="F1783" s="131"/>
      <c r="G1783" s="131"/>
      <c r="H1783" s="340"/>
      <c r="L1783" s="131"/>
      <c r="M1783" s="131"/>
      <c r="N1783" s="131"/>
      <c r="O1783" s="131"/>
      <c r="P1783" s="131"/>
      <c r="Q1783" s="131"/>
      <c r="R1783" s="131"/>
      <c r="S1783" s="131"/>
      <c r="T1783" s="131"/>
      <c r="U1783" s="131"/>
      <c r="V1783" s="131"/>
      <c r="W1783" s="131"/>
      <c r="X1783" s="131"/>
      <c r="Y1783" s="131"/>
      <c r="Z1783" s="131"/>
      <c r="AA1783" s="131"/>
      <c r="AB1783" s="131"/>
      <c r="AC1783" s="131"/>
    </row>
    <row r="1784" spans="4:29" x14ac:dyDescent="0.2">
      <c r="D1784" s="131"/>
      <c r="E1784" s="131"/>
      <c r="F1784" s="131"/>
      <c r="G1784" s="131"/>
      <c r="H1784" s="340"/>
      <c r="L1784" s="131"/>
      <c r="M1784" s="131"/>
      <c r="N1784" s="131"/>
      <c r="O1784" s="131"/>
      <c r="P1784" s="131"/>
      <c r="Q1784" s="131"/>
      <c r="R1784" s="131"/>
      <c r="S1784" s="131"/>
      <c r="T1784" s="131"/>
      <c r="U1784" s="131"/>
      <c r="V1784" s="131"/>
      <c r="W1784" s="131"/>
      <c r="X1784" s="131"/>
      <c r="Y1784" s="131"/>
      <c r="Z1784" s="131"/>
      <c r="AA1784" s="131"/>
      <c r="AB1784" s="131"/>
      <c r="AC1784" s="131"/>
    </row>
    <row r="1785" spans="4:29" x14ac:dyDescent="0.2">
      <c r="D1785" s="131"/>
      <c r="E1785" s="131"/>
      <c r="F1785" s="131"/>
      <c r="G1785" s="131"/>
      <c r="H1785" s="340"/>
      <c r="L1785" s="131"/>
      <c r="M1785" s="131"/>
      <c r="N1785" s="131"/>
      <c r="O1785" s="131"/>
      <c r="P1785" s="131"/>
      <c r="Q1785" s="131"/>
      <c r="R1785" s="131"/>
      <c r="S1785" s="131"/>
      <c r="T1785" s="131"/>
      <c r="U1785" s="131"/>
      <c r="V1785" s="131"/>
      <c r="W1785" s="131"/>
      <c r="X1785" s="131"/>
      <c r="Y1785" s="131"/>
      <c r="Z1785" s="131"/>
      <c r="AA1785" s="131"/>
      <c r="AB1785" s="131"/>
      <c r="AC1785" s="131"/>
    </row>
    <row r="1786" spans="4:29" x14ac:dyDescent="0.2">
      <c r="D1786" s="131"/>
      <c r="E1786" s="131"/>
      <c r="F1786" s="131"/>
      <c r="G1786" s="131"/>
      <c r="H1786" s="340"/>
      <c r="L1786" s="131"/>
      <c r="M1786" s="131"/>
      <c r="N1786" s="131"/>
      <c r="O1786" s="131"/>
      <c r="P1786" s="131"/>
      <c r="Q1786" s="131"/>
      <c r="R1786" s="131"/>
      <c r="S1786" s="131"/>
      <c r="T1786" s="131"/>
      <c r="U1786" s="131"/>
      <c r="V1786" s="131"/>
      <c r="W1786" s="131"/>
      <c r="X1786" s="131"/>
      <c r="Y1786" s="131"/>
      <c r="Z1786" s="131"/>
      <c r="AA1786" s="131"/>
      <c r="AB1786" s="131"/>
      <c r="AC1786" s="131"/>
    </row>
    <row r="1787" spans="4:29" x14ac:dyDescent="0.2">
      <c r="D1787" s="131"/>
      <c r="E1787" s="131"/>
      <c r="F1787" s="131"/>
      <c r="G1787" s="131"/>
      <c r="H1787" s="340"/>
      <c r="L1787" s="131"/>
      <c r="M1787" s="131"/>
      <c r="N1787" s="131"/>
      <c r="O1787" s="131"/>
      <c r="P1787" s="131"/>
      <c r="Q1787" s="131"/>
      <c r="R1787" s="131"/>
      <c r="S1787" s="131"/>
      <c r="T1787" s="131"/>
      <c r="U1787" s="131"/>
      <c r="V1787" s="131"/>
      <c r="W1787" s="131"/>
      <c r="X1787" s="131"/>
      <c r="Y1787" s="131"/>
      <c r="Z1787" s="131"/>
      <c r="AA1787" s="131"/>
      <c r="AB1787" s="131"/>
      <c r="AC1787" s="131"/>
    </row>
    <row r="1788" spans="4:29" x14ac:dyDescent="0.2">
      <c r="D1788" s="131"/>
      <c r="E1788" s="131"/>
      <c r="F1788" s="131"/>
      <c r="G1788" s="131"/>
      <c r="H1788" s="340"/>
      <c r="L1788" s="131"/>
      <c r="M1788" s="131"/>
      <c r="N1788" s="131"/>
      <c r="O1788" s="131"/>
      <c r="P1788" s="131"/>
      <c r="Q1788" s="131"/>
      <c r="R1788" s="131"/>
      <c r="S1788" s="131"/>
      <c r="T1788" s="131"/>
      <c r="U1788" s="131"/>
      <c r="V1788" s="131"/>
      <c r="W1788" s="131"/>
      <c r="X1788" s="131"/>
      <c r="Y1788" s="131"/>
      <c r="Z1788" s="131"/>
      <c r="AA1788" s="131"/>
      <c r="AB1788" s="131"/>
      <c r="AC1788" s="131"/>
    </row>
    <row r="1789" spans="4:29" x14ac:dyDescent="0.2">
      <c r="D1789" s="131"/>
      <c r="E1789" s="131"/>
      <c r="F1789" s="131"/>
      <c r="G1789" s="131"/>
      <c r="H1789" s="340"/>
      <c r="L1789" s="131"/>
      <c r="M1789" s="131"/>
      <c r="N1789" s="131"/>
      <c r="O1789" s="131"/>
      <c r="P1789" s="131"/>
      <c r="Q1789" s="131"/>
      <c r="R1789" s="131"/>
      <c r="S1789" s="131"/>
      <c r="T1789" s="131"/>
      <c r="U1789" s="131"/>
      <c r="V1789" s="131"/>
      <c r="W1789" s="131"/>
      <c r="X1789" s="131"/>
      <c r="Y1789" s="131"/>
      <c r="Z1789" s="131"/>
      <c r="AA1789" s="131"/>
      <c r="AB1789" s="131"/>
      <c r="AC1789" s="131"/>
    </row>
    <row r="1790" spans="4:29" x14ac:dyDescent="0.2">
      <c r="D1790" s="131"/>
      <c r="E1790" s="131"/>
      <c r="F1790" s="131"/>
      <c r="G1790" s="131"/>
      <c r="H1790" s="340"/>
      <c r="L1790" s="131"/>
      <c r="M1790" s="131"/>
      <c r="N1790" s="131"/>
      <c r="O1790" s="131"/>
      <c r="P1790" s="131"/>
      <c r="Q1790" s="131"/>
      <c r="R1790" s="131"/>
      <c r="S1790" s="131"/>
      <c r="T1790" s="131"/>
      <c r="U1790" s="131"/>
      <c r="V1790" s="131"/>
      <c r="W1790" s="131"/>
      <c r="X1790" s="131"/>
      <c r="Y1790" s="131"/>
      <c r="Z1790" s="131"/>
      <c r="AA1790" s="131"/>
      <c r="AB1790" s="131"/>
      <c r="AC1790" s="131"/>
    </row>
    <row r="1791" spans="4:29" x14ac:dyDescent="0.2">
      <c r="D1791" s="131"/>
      <c r="E1791" s="131"/>
      <c r="F1791" s="131"/>
      <c r="G1791" s="131"/>
      <c r="H1791" s="340"/>
      <c r="L1791" s="131"/>
      <c r="M1791" s="131"/>
      <c r="N1791" s="131"/>
      <c r="O1791" s="131"/>
      <c r="P1791" s="131"/>
      <c r="Q1791" s="131"/>
      <c r="R1791" s="131"/>
      <c r="S1791" s="131"/>
      <c r="T1791" s="131"/>
      <c r="U1791" s="131"/>
      <c r="V1791" s="131"/>
      <c r="W1791" s="131"/>
      <c r="X1791" s="131"/>
      <c r="Y1791" s="131"/>
      <c r="Z1791" s="131"/>
      <c r="AA1791" s="131"/>
      <c r="AB1791" s="131"/>
      <c r="AC1791" s="131"/>
    </row>
    <row r="1792" spans="4:29" x14ac:dyDescent="0.2">
      <c r="D1792" s="131"/>
      <c r="E1792" s="131"/>
      <c r="F1792" s="131"/>
      <c r="G1792" s="131"/>
      <c r="H1792" s="340"/>
      <c r="L1792" s="131"/>
      <c r="M1792" s="131"/>
      <c r="N1792" s="131"/>
      <c r="O1792" s="131"/>
      <c r="P1792" s="131"/>
      <c r="Q1792" s="131"/>
      <c r="R1792" s="131"/>
      <c r="S1792" s="131"/>
      <c r="T1792" s="131"/>
      <c r="U1792" s="131"/>
      <c r="V1792" s="131"/>
      <c r="W1792" s="131"/>
      <c r="X1792" s="131"/>
      <c r="Y1792" s="131"/>
      <c r="Z1792" s="131"/>
      <c r="AA1792" s="131"/>
      <c r="AB1792" s="131"/>
      <c r="AC1792" s="131"/>
    </row>
    <row r="1793" spans="4:29" x14ac:dyDescent="0.2">
      <c r="D1793" s="131"/>
      <c r="E1793" s="131"/>
      <c r="F1793" s="131"/>
      <c r="G1793" s="131"/>
      <c r="H1793" s="340"/>
      <c r="L1793" s="131"/>
      <c r="M1793" s="131"/>
      <c r="N1793" s="131"/>
      <c r="O1793" s="131"/>
      <c r="P1793" s="131"/>
      <c r="Q1793" s="131"/>
      <c r="R1793" s="131"/>
      <c r="S1793" s="131"/>
      <c r="T1793" s="131"/>
      <c r="U1793" s="131"/>
      <c r="V1793" s="131"/>
      <c r="W1793" s="131"/>
      <c r="X1793" s="131"/>
      <c r="Y1793" s="131"/>
      <c r="Z1793" s="131"/>
      <c r="AA1793" s="131"/>
      <c r="AB1793" s="131"/>
      <c r="AC1793" s="131"/>
    </row>
    <row r="1794" spans="4:29" x14ac:dyDescent="0.2">
      <c r="D1794" s="131"/>
      <c r="E1794" s="131"/>
      <c r="F1794" s="131"/>
      <c r="G1794" s="131"/>
      <c r="H1794" s="340"/>
      <c r="L1794" s="131"/>
      <c r="M1794" s="131"/>
      <c r="N1794" s="131"/>
      <c r="O1794" s="131"/>
      <c r="P1794" s="131"/>
      <c r="Q1794" s="131"/>
      <c r="R1794" s="131"/>
      <c r="S1794" s="131"/>
      <c r="T1794" s="131"/>
      <c r="U1794" s="131"/>
      <c r="V1794" s="131"/>
      <c r="W1794" s="131"/>
      <c r="X1794" s="131"/>
      <c r="Y1794" s="131"/>
      <c r="Z1794" s="131"/>
      <c r="AA1794" s="131"/>
      <c r="AB1794" s="131"/>
      <c r="AC1794" s="131"/>
    </row>
    <row r="1795" spans="4:29" x14ac:dyDescent="0.2">
      <c r="D1795" s="131"/>
      <c r="E1795" s="131"/>
      <c r="F1795" s="131"/>
      <c r="G1795" s="131"/>
      <c r="H1795" s="340"/>
      <c r="L1795" s="131"/>
      <c r="M1795" s="131"/>
      <c r="N1795" s="131"/>
      <c r="O1795" s="131"/>
      <c r="P1795" s="131"/>
      <c r="Q1795" s="131"/>
      <c r="R1795" s="131"/>
      <c r="S1795" s="131"/>
      <c r="T1795" s="131"/>
      <c r="U1795" s="131"/>
      <c r="V1795" s="131"/>
      <c r="W1795" s="131"/>
      <c r="X1795" s="131"/>
      <c r="Y1795" s="131"/>
      <c r="Z1795" s="131"/>
      <c r="AA1795" s="131"/>
      <c r="AB1795" s="131"/>
      <c r="AC1795" s="131"/>
    </row>
    <row r="1796" spans="4:29" x14ac:dyDescent="0.2">
      <c r="D1796" s="131"/>
      <c r="E1796" s="131"/>
      <c r="F1796" s="131"/>
      <c r="G1796" s="131"/>
      <c r="H1796" s="340"/>
      <c r="L1796" s="131"/>
      <c r="M1796" s="131"/>
      <c r="N1796" s="131"/>
      <c r="O1796" s="131"/>
      <c r="P1796" s="131"/>
      <c r="Q1796" s="131"/>
      <c r="R1796" s="131"/>
      <c r="S1796" s="131"/>
      <c r="T1796" s="131"/>
      <c r="U1796" s="131"/>
      <c r="V1796" s="131"/>
      <c r="W1796" s="131"/>
      <c r="X1796" s="131"/>
      <c r="Y1796" s="131"/>
      <c r="Z1796" s="131"/>
      <c r="AA1796" s="131"/>
      <c r="AB1796" s="131"/>
      <c r="AC1796" s="131"/>
    </row>
    <row r="1797" spans="4:29" x14ac:dyDescent="0.2">
      <c r="D1797" s="131"/>
      <c r="E1797" s="131"/>
      <c r="F1797" s="131"/>
      <c r="G1797" s="131"/>
      <c r="H1797" s="340"/>
      <c r="L1797" s="131"/>
      <c r="M1797" s="131"/>
      <c r="N1797" s="131"/>
      <c r="O1797" s="131"/>
      <c r="P1797" s="131"/>
      <c r="Q1797" s="131"/>
      <c r="R1797" s="131"/>
      <c r="S1797" s="131"/>
      <c r="T1797" s="131"/>
      <c r="U1797" s="131"/>
      <c r="V1797" s="131"/>
      <c r="W1797" s="131"/>
      <c r="X1797" s="131"/>
      <c r="Y1797" s="131"/>
      <c r="Z1797" s="131"/>
      <c r="AA1797" s="131"/>
      <c r="AB1797" s="131"/>
      <c r="AC1797" s="131"/>
    </row>
    <row r="1798" spans="4:29" x14ac:dyDescent="0.2">
      <c r="D1798" s="131"/>
      <c r="E1798" s="131"/>
      <c r="F1798" s="131"/>
      <c r="G1798" s="131"/>
      <c r="H1798" s="340"/>
      <c r="L1798" s="131"/>
      <c r="M1798" s="131"/>
      <c r="N1798" s="131"/>
      <c r="O1798" s="131"/>
      <c r="P1798" s="131"/>
      <c r="Q1798" s="131"/>
      <c r="R1798" s="131"/>
      <c r="S1798" s="131"/>
      <c r="T1798" s="131"/>
      <c r="U1798" s="131"/>
      <c r="V1798" s="131"/>
      <c r="W1798" s="131"/>
      <c r="X1798" s="131"/>
      <c r="Y1798" s="131"/>
      <c r="Z1798" s="131"/>
      <c r="AA1798" s="131"/>
      <c r="AB1798" s="131"/>
      <c r="AC1798" s="131"/>
    </row>
    <row r="1799" spans="4:29" x14ac:dyDescent="0.2">
      <c r="D1799" s="131"/>
      <c r="E1799" s="131"/>
      <c r="F1799" s="131"/>
      <c r="G1799" s="131"/>
      <c r="H1799" s="340"/>
      <c r="L1799" s="131"/>
      <c r="M1799" s="131"/>
      <c r="N1799" s="131"/>
      <c r="O1799" s="131"/>
      <c r="P1799" s="131"/>
      <c r="Q1799" s="131"/>
      <c r="R1799" s="131"/>
      <c r="S1799" s="131"/>
      <c r="T1799" s="131"/>
      <c r="U1799" s="131"/>
      <c r="V1799" s="131"/>
      <c r="W1799" s="131"/>
      <c r="X1799" s="131"/>
      <c r="Y1799" s="131"/>
      <c r="Z1799" s="131"/>
      <c r="AA1799" s="131"/>
      <c r="AB1799" s="131"/>
      <c r="AC1799" s="131"/>
    </row>
    <row r="1800" spans="4:29" x14ac:dyDescent="0.2">
      <c r="D1800" s="131"/>
      <c r="E1800" s="131"/>
      <c r="F1800" s="131"/>
      <c r="G1800" s="131"/>
      <c r="H1800" s="340"/>
      <c r="L1800" s="131"/>
      <c r="M1800" s="131"/>
      <c r="N1800" s="131"/>
      <c r="O1800" s="131"/>
      <c r="P1800" s="131"/>
      <c r="Q1800" s="131"/>
      <c r="R1800" s="131"/>
      <c r="S1800" s="131"/>
      <c r="T1800" s="131"/>
      <c r="U1800" s="131"/>
      <c r="V1800" s="131"/>
      <c r="W1800" s="131"/>
      <c r="X1800" s="131"/>
      <c r="Y1800" s="131"/>
      <c r="Z1800" s="131"/>
      <c r="AA1800" s="131"/>
      <c r="AB1800" s="131"/>
      <c r="AC1800" s="131"/>
    </row>
    <row r="1801" spans="4:29" x14ac:dyDescent="0.2">
      <c r="D1801" s="131"/>
      <c r="E1801" s="131"/>
      <c r="F1801" s="131"/>
      <c r="G1801" s="131"/>
      <c r="H1801" s="340"/>
      <c r="L1801" s="131"/>
      <c r="M1801" s="131"/>
      <c r="N1801" s="131"/>
      <c r="O1801" s="131"/>
      <c r="P1801" s="131"/>
      <c r="Q1801" s="131"/>
      <c r="R1801" s="131"/>
      <c r="S1801" s="131"/>
      <c r="T1801" s="131"/>
      <c r="U1801" s="131"/>
      <c r="V1801" s="131"/>
      <c r="W1801" s="131"/>
      <c r="X1801" s="131"/>
      <c r="Y1801" s="131"/>
      <c r="Z1801" s="131"/>
      <c r="AA1801" s="131"/>
      <c r="AB1801" s="131"/>
      <c r="AC1801" s="131"/>
    </row>
    <row r="1802" spans="4:29" x14ac:dyDescent="0.2">
      <c r="D1802" s="131"/>
      <c r="E1802" s="131"/>
      <c r="F1802" s="131"/>
      <c r="G1802" s="131"/>
      <c r="H1802" s="340"/>
      <c r="L1802" s="131"/>
      <c r="M1802" s="131"/>
      <c r="N1802" s="131"/>
      <c r="O1802" s="131"/>
      <c r="P1802" s="131"/>
      <c r="Q1802" s="131"/>
      <c r="R1802" s="131"/>
      <c r="S1802" s="131"/>
      <c r="T1802" s="131"/>
      <c r="U1802" s="131"/>
      <c r="V1802" s="131"/>
      <c r="W1802" s="131"/>
      <c r="X1802" s="131"/>
      <c r="Y1802" s="131"/>
      <c r="Z1802" s="131"/>
      <c r="AA1802" s="131"/>
      <c r="AB1802" s="131"/>
      <c r="AC1802" s="131"/>
    </row>
    <row r="1803" spans="4:29" x14ac:dyDescent="0.2">
      <c r="D1803" s="131"/>
      <c r="E1803" s="131"/>
      <c r="F1803" s="131"/>
      <c r="G1803" s="131"/>
      <c r="H1803" s="340"/>
      <c r="L1803" s="131"/>
      <c r="M1803" s="131"/>
      <c r="N1803" s="131"/>
      <c r="O1803" s="131"/>
      <c r="P1803" s="131"/>
      <c r="Q1803" s="131"/>
      <c r="R1803" s="131"/>
      <c r="S1803" s="131"/>
      <c r="T1803" s="131"/>
      <c r="U1803" s="131"/>
      <c r="V1803" s="131"/>
      <c r="W1803" s="131"/>
      <c r="X1803" s="131"/>
      <c r="Y1803" s="131"/>
      <c r="Z1803" s="131"/>
      <c r="AA1803" s="131"/>
      <c r="AB1803" s="131"/>
      <c r="AC1803" s="131"/>
    </row>
    <row r="1804" spans="4:29" x14ac:dyDescent="0.2">
      <c r="D1804" s="131"/>
      <c r="E1804" s="131"/>
      <c r="F1804" s="131"/>
      <c r="G1804" s="131"/>
      <c r="H1804" s="340"/>
      <c r="L1804" s="131"/>
      <c r="M1804" s="131"/>
      <c r="N1804" s="131"/>
      <c r="O1804" s="131"/>
      <c r="P1804" s="131"/>
      <c r="Q1804" s="131"/>
      <c r="R1804" s="131"/>
      <c r="S1804" s="131"/>
      <c r="T1804" s="131"/>
      <c r="U1804" s="131"/>
      <c r="V1804" s="131"/>
      <c r="W1804" s="131"/>
      <c r="X1804" s="131"/>
      <c r="Y1804" s="131"/>
      <c r="Z1804" s="131"/>
      <c r="AA1804" s="131"/>
      <c r="AB1804" s="131"/>
      <c r="AC1804" s="131"/>
    </row>
    <row r="1805" spans="4:29" x14ac:dyDescent="0.2">
      <c r="D1805" s="131"/>
      <c r="E1805" s="131"/>
      <c r="F1805" s="131"/>
      <c r="G1805" s="131"/>
      <c r="H1805" s="340"/>
      <c r="L1805" s="131"/>
      <c r="M1805" s="131"/>
      <c r="N1805" s="131"/>
      <c r="O1805" s="131"/>
      <c r="P1805" s="131"/>
      <c r="Q1805" s="131"/>
      <c r="R1805" s="131"/>
      <c r="S1805" s="131"/>
      <c r="T1805" s="131"/>
      <c r="U1805" s="131"/>
      <c r="V1805" s="131"/>
      <c r="W1805" s="131"/>
      <c r="X1805" s="131"/>
      <c r="Y1805" s="131"/>
      <c r="Z1805" s="131"/>
      <c r="AA1805" s="131"/>
      <c r="AB1805" s="131"/>
      <c r="AC1805" s="131"/>
    </row>
    <row r="1806" spans="4:29" x14ac:dyDescent="0.2">
      <c r="D1806" s="131"/>
      <c r="E1806" s="131"/>
      <c r="F1806" s="131"/>
      <c r="G1806" s="131"/>
      <c r="H1806" s="340"/>
      <c r="L1806" s="131"/>
      <c r="M1806" s="131"/>
      <c r="N1806" s="131"/>
      <c r="O1806" s="131"/>
      <c r="P1806" s="131"/>
      <c r="Q1806" s="131"/>
      <c r="R1806" s="131"/>
      <c r="S1806" s="131"/>
      <c r="T1806" s="131"/>
      <c r="U1806" s="131"/>
      <c r="V1806" s="131"/>
      <c r="W1806" s="131"/>
      <c r="X1806" s="131"/>
      <c r="Y1806" s="131"/>
      <c r="Z1806" s="131"/>
      <c r="AA1806" s="131"/>
      <c r="AB1806" s="131"/>
      <c r="AC1806" s="131"/>
    </row>
    <row r="1807" spans="4:29" x14ac:dyDescent="0.2">
      <c r="D1807" s="131"/>
      <c r="E1807" s="131"/>
      <c r="F1807" s="131"/>
      <c r="G1807" s="131"/>
      <c r="H1807" s="340"/>
      <c r="L1807" s="131"/>
      <c r="M1807" s="131"/>
      <c r="N1807" s="131"/>
      <c r="O1807" s="131"/>
      <c r="P1807" s="131"/>
      <c r="Q1807" s="131"/>
      <c r="R1807" s="131"/>
      <c r="S1807" s="131"/>
      <c r="T1807" s="131"/>
      <c r="U1807" s="131"/>
      <c r="V1807" s="131"/>
      <c r="W1807" s="131"/>
      <c r="X1807" s="131"/>
      <c r="Y1807" s="131"/>
      <c r="Z1807" s="131"/>
      <c r="AA1807" s="131"/>
      <c r="AB1807" s="131"/>
      <c r="AC1807" s="131"/>
    </row>
    <row r="1808" spans="4:29" x14ac:dyDescent="0.2">
      <c r="D1808" s="131"/>
      <c r="E1808" s="131"/>
      <c r="F1808" s="131"/>
      <c r="G1808" s="131"/>
      <c r="H1808" s="340"/>
      <c r="L1808" s="131"/>
      <c r="M1808" s="131"/>
      <c r="N1808" s="131"/>
      <c r="O1808" s="131"/>
      <c r="P1808" s="131"/>
      <c r="Q1808" s="131"/>
      <c r="R1808" s="131"/>
      <c r="S1808" s="131"/>
      <c r="T1808" s="131"/>
      <c r="U1808" s="131"/>
      <c r="V1808" s="131"/>
      <c r="W1808" s="131"/>
      <c r="X1808" s="131"/>
      <c r="Y1808" s="131"/>
      <c r="Z1808" s="131"/>
      <c r="AA1808" s="131"/>
      <c r="AB1808" s="131"/>
      <c r="AC1808" s="131"/>
    </row>
    <row r="1809" spans="4:29" x14ac:dyDescent="0.2">
      <c r="D1809" s="131"/>
      <c r="E1809" s="131"/>
      <c r="F1809" s="131"/>
      <c r="G1809" s="131"/>
      <c r="H1809" s="340"/>
      <c r="L1809" s="131"/>
      <c r="M1809" s="131"/>
      <c r="N1809" s="131"/>
      <c r="O1809" s="131"/>
      <c r="P1809" s="131"/>
      <c r="Q1809" s="131"/>
      <c r="R1809" s="131"/>
      <c r="S1809" s="131"/>
      <c r="T1809" s="131"/>
      <c r="U1809" s="131"/>
      <c r="V1809" s="131"/>
      <c r="W1809" s="131"/>
      <c r="X1809" s="131"/>
      <c r="Y1809" s="131"/>
      <c r="Z1809" s="131"/>
      <c r="AA1809" s="131"/>
      <c r="AB1809" s="131"/>
      <c r="AC1809" s="131"/>
    </row>
    <row r="1810" spans="4:29" x14ac:dyDescent="0.2">
      <c r="D1810" s="131"/>
      <c r="E1810" s="131"/>
      <c r="F1810" s="131"/>
      <c r="G1810" s="131"/>
      <c r="H1810" s="340"/>
      <c r="L1810" s="131"/>
      <c r="M1810" s="131"/>
      <c r="N1810" s="131"/>
      <c r="O1810" s="131"/>
      <c r="P1810" s="131"/>
      <c r="Q1810" s="131"/>
      <c r="R1810" s="131"/>
      <c r="S1810" s="131"/>
      <c r="T1810" s="131"/>
      <c r="U1810" s="131"/>
      <c r="V1810" s="131"/>
      <c r="W1810" s="131"/>
      <c r="X1810" s="131"/>
      <c r="Y1810" s="131"/>
      <c r="Z1810" s="131"/>
      <c r="AA1810" s="131"/>
      <c r="AB1810" s="131"/>
      <c r="AC1810" s="131"/>
    </row>
    <row r="1811" spans="4:29" x14ac:dyDescent="0.2">
      <c r="D1811" s="131"/>
      <c r="E1811" s="131"/>
      <c r="F1811" s="131"/>
      <c r="G1811" s="131"/>
      <c r="H1811" s="340"/>
      <c r="L1811" s="131"/>
      <c r="M1811" s="131"/>
      <c r="N1811" s="131"/>
      <c r="O1811" s="131"/>
      <c r="P1811" s="131"/>
      <c r="Q1811" s="131"/>
      <c r="R1811" s="131"/>
      <c r="S1811" s="131"/>
      <c r="T1811" s="131"/>
      <c r="U1811" s="131"/>
      <c r="V1811" s="131"/>
      <c r="W1811" s="131"/>
      <c r="X1811" s="131"/>
      <c r="Y1811" s="131"/>
      <c r="Z1811" s="131"/>
      <c r="AA1811" s="131"/>
      <c r="AB1811" s="131"/>
      <c r="AC1811" s="131"/>
    </row>
    <row r="1812" spans="4:29" x14ac:dyDescent="0.2">
      <c r="D1812" s="131"/>
      <c r="E1812" s="131"/>
      <c r="F1812" s="131"/>
      <c r="G1812" s="131"/>
      <c r="H1812" s="340"/>
      <c r="L1812" s="131"/>
      <c r="M1812" s="131"/>
      <c r="N1812" s="131"/>
      <c r="O1812" s="131"/>
      <c r="P1812" s="131"/>
      <c r="Q1812" s="131"/>
      <c r="R1812" s="131"/>
      <c r="S1812" s="131"/>
      <c r="T1812" s="131"/>
      <c r="U1812" s="131"/>
      <c r="V1812" s="131"/>
      <c r="W1812" s="131"/>
      <c r="X1812" s="131"/>
      <c r="Y1812" s="131"/>
      <c r="Z1812" s="131"/>
      <c r="AA1812" s="131"/>
      <c r="AB1812" s="131"/>
      <c r="AC1812" s="131"/>
    </row>
    <row r="1813" spans="4:29" x14ac:dyDescent="0.2">
      <c r="D1813" s="131"/>
      <c r="E1813" s="131"/>
      <c r="F1813" s="131"/>
      <c r="G1813" s="131"/>
      <c r="H1813" s="340"/>
      <c r="L1813" s="131"/>
      <c r="M1813" s="131"/>
      <c r="N1813" s="131"/>
      <c r="O1813" s="131"/>
      <c r="P1813" s="131"/>
      <c r="Q1813" s="131"/>
      <c r="R1813" s="131"/>
      <c r="S1813" s="131"/>
      <c r="T1813" s="131"/>
      <c r="U1813" s="131"/>
      <c r="V1813" s="131"/>
      <c r="W1813" s="131"/>
      <c r="X1813" s="131"/>
      <c r="Y1813" s="131"/>
      <c r="Z1813" s="131"/>
      <c r="AA1813" s="131"/>
      <c r="AB1813" s="131"/>
      <c r="AC1813" s="131"/>
    </row>
    <row r="1814" spans="4:29" x14ac:dyDescent="0.2">
      <c r="D1814" s="131"/>
      <c r="E1814" s="131"/>
      <c r="F1814" s="131"/>
      <c r="G1814" s="131"/>
      <c r="H1814" s="340"/>
      <c r="L1814" s="131"/>
      <c r="M1814" s="131"/>
      <c r="N1814" s="131"/>
      <c r="O1814" s="131"/>
      <c r="P1814" s="131"/>
      <c r="Q1814" s="131"/>
      <c r="R1814" s="131"/>
      <c r="S1814" s="131"/>
      <c r="T1814" s="131"/>
      <c r="U1814" s="131"/>
      <c r="V1814" s="131"/>
      <c r="W1814" s="131"/>
      <c r="X1814" s="131"/>
      <c r="Y1814" s="131"/>
      <c r="Z1814" s="131"/>
      <c r="AA1814" s="131"/>
      <c r="AB1814" s="131"/>
      <c r="AC1814" s="131"/>
    </row>
    <row r="1815" spans="4:29" x14ac:dyDescent="0.2">
      <c r="D1815" s="131"/>
      <c r="E1815" s="131"/>
      <c r="F1815" s="131"/>
      <c r="G1815" s="131"/>
      <c r="H1815" s="340"/>
      <c r="L1815" s="131"/>
      <c r="M1815" s="131"/>
      <c r="N1815" s="131"/>
      <c r="O1815" s="131"/>
      <c r="P1815" s="131"/>
      <c r="Q1815" s="131"/>
      <c r="R1815" s="131"/>
      <c r="S1815" s="131"/>
      <c r="T1815" s="131"/>
      <c r="U1815" s="131"/>
      <c r="V1815" s="131"/>
      <c r="W1815" s="131"/>
      <c r="X1815" s="131"/>
      <c r="Y1815" s="131"/>
      <c r="Z1815" s="131"/>
      <c r="AA1815" s="131"/>
      <c r="AB1815" s="131"/>
      <c r="AC1815" s="131"/>
    </row>
    <row r="1816" spans="4:29" x14ac:dyDescent="0.2">
      <c r="D1816" s="131"/>
      <c r="E1816" s="131"/>
      <c r="F1816" s="131"/>
      <c r="G1816" s="131"/>
      <c r="H1816" s="340"/>
      <c r="L1816" s="131"/>
      <c r="M1816" s="131"/>
      <c r="N1816" s="131"/>
      <c r="O1816" s="131"/>
      <c r="P1816" s="131"/>
      <c r="Q1816" s="131"/>
      <c r="R1816" s="131"/>
      <c r="S1816" s="131"/>
      <c r="T1816" s="131"/>
      <c r="U1816" s="131"/>
      <c r="V1816" s="131"/>
      <c r="W1816" s="131"/>
      <c r="X1816" s="131"/>
      <c r="Y1816" s="131"/>
      <c r="Z1816" s="131"/>
      <c r="AA1816" s="131"/>
      <c r="AB1816" s="131"/>
      <c r="AC1816" s="131"/>
    </row>
    <row r="1817" spans="4:29" x14ac:dyDescent="0.2">
      <c r="D1817" s="131"/>
      <c r="E1817" s="131"/>
      <c r="F1817" s="131"/>
      <c r="G1817" s="131"/>
      <c r="H1817" s="340"/>
      <c r="L1817" s="131"/>
      <c r="M1817" s="131"/>
      <c r="N1817" s="131"/>
      <c r="O1817" s="131"/>
      <c r="P1817" s="131"/>
      <c r="Q1817" s="131"/>
      <c r="R1817" s="131"/>
      <c r="S1817" s="131"/>
      <c r="T1817" s="131"/>
      <c r="U1817" s="131"/>
      <c r="V1817" s="131"/>
      <c r="W1817" s="131"/>
      <c r="X1817" s="131"/>
      <c r="Y1817" s="131"/>
      <c r="Z1817" s="131"/>
      <c r="AA1817" s="131"/>
      <c r="AB1817" s="131"/>
      <c r="AC1817" s="131"/>
    </row>
    <row r="1818" spans="4:29" x14ac:dyDescent="0.2">
      <c r="D1818" s="131"/>
      <c r="E1818" s="131"/>
      <c r="F1818" s="131"/>
      <c r="G1818" s="131"/>
      <c r="H1818" s="340"/>
      <c r="L1818" s="131"/>
      <c r="M1818" s="131"/>
      <c r="N1818" s="131"/>
      <c r="O1818" s="131"/>
      <c r="P1818" s="131"/>
      <c r="Q1818" s="131"/>
      <c r="R1818" s="131"/>
      <c r="S1818" s="131"/>
      <c r="T1818" s="131"/>
      <c r="U1818" s="131"/>
      <c r="V1818" s="131"/>
      <c r="W1818" s="131"/>
      <c r="X1818" s="131"/>
      <c r="Y1818" s="131"/>
      <c r="Z1818" s="131"/>
      <c r="AA1818" s="131"/>
      <c r="AB1818" s="131"/>
      <c r="AC1818" s="131"/>
    </row>
    <row r="1819" spans="4:29" x14ac:dyDescent="0.2">
      <c r="D1819" s="131"/>
      <c r="E1819" s="131"/>
      <c r="F1819" s="131"/>
      <c r="G1819" s="131"/>
      <c r="H1819" s="340"/>
      <c r="L1819" s="131"/>
      <c r="M1819" s="131"/>
      <c r="N1819" s="131"/>
      <c r="O1819" s="131"/>
      <c r="P1819" s="131"/>
      <c r="Q1819" s="131"/>
      <c r="R1819" s="131"/>
      <c r="S1819" s="131"/>
      <c r="T1819" s="131"/>
      <c r="U1819" s="131"/>
      <c r="V1819" s="131"/>
      <c r="W1819" s="131"/>
      <c r="X1819" s="131"/>
      <c r="Y1819" s="131"/>
      <c r="Z1819" s="131"/>
      <c r="AA1819" s="131"/>
      <c r="AB1819" s="131"/>
      <c r="AC1819" s="131"/>
    </row>
    <row r="1820" spans="4:29" x14ac:dyDescent="0.2">
      <c r="D1820" s="131"/>
      <c r="E1820" s="131"/>
      <c r="F1820" s="131"/>
      <c r="G1820" s="131"/>
      <c r="H1820" s="340"/>
      <c r="L1820" s="131"/>
      <c r="M1820" s="131"/>
      <c r="N1820" s="131"/>
      <c r="O1820" s="131"/>
      <c r="P1820" s="131"/>
      <c r="Q1820" s="131"/>
      <c r="R1820" s="131"/>
      <c r="S1820" s="131"/>
      <c r="T1820" s="131"/>
      <c r="U1820" s="131"/>
      <c r="V1820" s="131"/>
      <c r="W1820" s="131"/>
      <c r="X1820" s="131"/>
      <c r="Y1820" s="131"/>
      <c r="Z1820" s="131"/>
      <c r="AA1820" s="131"/>
      <c r="AB1820" s="131"/>
      <c r="AC1820" s="131"/>
    </row>
    <row r="1821" spans="4:29" x14ac:dyDescent="0.2">
      <c r="D1821" s="131"/>
      <c r="E1821" s="131"/>
      <c r="F1821" s="131"/>
      <c r="G1821" s="131"/>
      <c r="H1821" s="340"/>
      <c r="L1821" s="131"/>
      <c r="M1821" s="131"/>
      <c r="N1821" s="131"/>
      <c r="O1821" s="131"/>
      <c r="P1821" s="131"/>
      <c r="Q1821" s="131"/>
      <c r="R1821" s="131"/>
      <c r="S1821" s="131"/>
      <c r="T1821" s="131"/>
      <c r="U1821" s="131"/>
      <c r="V1821" s="131"/>
      <c r="W1821" s="131"/>
      <c r="X1821" s="131"/>
      <c r="Y1821" s="131"/>
      <c r="Z1821" s="131"/>
      <c r="AA1821" s="131"/>
      <c r="AB1821" s="131"/>
      <c r="AC1821" s="131"/>
    </row>
    <row r="1822" spans="4:29" x14ac:dyDescent="0.2">
      <c r="D1822" s="131"/>
      <c r="E1822" s="131"/>
      <c r="F1822" s="131"/>
      <c r="G1822" s="131"/>
      <c r="H1822" s="340"/>
      <c r="L1822" s="131"/>
      <c r="M1822" s="131"/>
      <c r="N1822" s="131"/>
      <c r="O1822" s="131"/>
      <c r="P1822" s="131"/>
      <c r="Q1822" s="131"/>
      <c r="R1822" s="131"/>
      <c r="S1822" s="131"/>
      <c r="T1822" s="131"/>
      <c r="U1822" s="131"/>
      <c r="V1822" s="131"/>
      <c r="W1822" s="131"/>
      <c r="X1822" s="131"/>
      <c r="Y1822" s="131"/>
      <c r="Z1822" s="131"/>
      <c r="AA1822" s="131"/>
      <c r="AB1822" s="131"/>
      <c r="AC1822" s="131"/>
    </row>
    <row r="1823" spans="4:29" x14ac:dyDescent="0.2">
      <c r="D1823" s="131"/>
      <c r="E1823" s="131"/>
      <c r="F1823" s="131"/>
      <c r="G1823" s="131"/>
      <c r="H1823" s="340"/>
      <c r="L1823" s="131"/>
      <c r="M1823" s="131"/>
      <c r="N1823" s="131"/>
      <c r="O1823" s="131"/>
      <c r="P1823" s="131"/>
      <c r="Q1823" s="131"/>
      <c r="R1823" s="131"/>
      <c r="S1823" s="131"/>
      <c r="T1823" s="131"/>
      <c r="U1823" s="131"/>
      <c r="V1823" s="131"/>
      <c r="W1823" s="131"/>
      <c r="X1823" s="131"/>
      <c r="Y1823" s="131"/>
      <c r="Z1823" s="131"/>
      <c r="AA1823" s="131"/>
      <c r="AB1823" s="131"/>
      <c r="AC1823" s="131"/>
    </row>
    <row r="1824" spans="4:29" x14ac:dyDescent="0.2">
      <c r="D1824" s="131"/>
      <c r="E1824" s="131"/>
      <c r="F1824" s="131"/>
      <c r="G1824" s="131"/>
      <c r="H1824" s="340"/>
      <c r="L1824" s="131"/>
      <c r="M1824" s="131"/>
      <c r="N1824" s="131"/>
      <c r="O1824" s="131"/>
      <c r="P1824" s="131"/>
      <c r="Q1824" s="131"/>
      <c r="R1824" s="131"/>
      <c r="S1824" s="131"/>
      <c r="T1824" s="131"/>
      <c r="U1824" s="131"/>
      <c r="V1824" s="131"/>
      <c r="W1824" s="131"/>
      <c r="X1824" s="131"/>
      <c r="Y1824" s="131"/>
      <c r="Z1824" s="131"/>
      <c r="AA1824" s="131"/>
      <c r="AB1824" s="131"/>
      <c r="AC1824" s="131"/>
    </row>
    <row r="1825" spans="4:29" x14ac:dyDescent="0.2">
      <c r="D1825" s="131"/>
      <c r="E1825" s="131"/>
      <c r="F1825" s="131"/>
      <c r="G1825" s="131"/>
      <c r="H1825" s="340"/>
      <c r="L1825" s="131"/>
      <c r="M1825" s="131"/>
      <c r="N1825" s="131"/>
      <c r="O1825" s="131"/>
      <c r="P1825" s="131"/>
      <c r="Q1825" s="131"/>
      <c r="R1825" s="131"/>
      <c r="S1825" s="131"/>
      <c r="T1825" s="131"/>
      <c r="U1825" s="131"/>
      <c r="V1825" s="131"/>
      <c r="W1825" s="131"/>
      <c r="X1825" s="131"/>
      <c r="Y1825" s="131"/>
      <c r="Z1825" s="131"/>
      <c r="AA1825" s="131"/>
      <c r="AB1825" s="131"/>
      <c r="AC1825" s="131"/>
    </row>
    <row r="1826" spans="4:29" x14ac:dyDescent="0.2">
      <c r="D1826" s="131"/>
      <c r="E1826" s="131"/>
      <c r="F1826" s="131"/>
      <c r="G1826" s="131"/>
      <c r="H1826" s="340"/>
      <c r="L1826" s="131"/>
      <c r="M1826" s="131"/>
      <c r="N1826" s="131"/>
      <c r="O1826" s="131"/>
      <c r="P1826" s="131"/>
      <c r="Q1826" s="131"/>
      <c r="R1826" s="131"/>
      <c r="S1826" s="131"/>
      <c r="T1826" s="131"/>
      <c r="U1826" s="131"/>
      <c r="V1826" s="131"/>
      <c r="W1826" s="131"/>
      <c r="X1826" s="131"/>
      <c r="Y1826" s="131"/>
      <c r="Z1826" s="131"/>
      <c r="AA1826" s="131"/>
      <c r="AB1826" s="131"/>
      <c r="AC1826" s="131"/>
    </row>
    <row r="1827" spans="4:29" x14ac:dyDescent="0.2">
      <c r="D1827" s="131"/>
      <c r="E1827" s="131"/>
      <c r="F1827" s="131"/>
      <c r="G1827" s="131"/>
      <c r="H1827" s="340"/>
      <c r="L1827" s="131"/>
      <c r="M1827" s="131"/>
      <c r="N1827" s="131"/>
      <c r="O1827" s="131"/>
      <c r="P1827" s="131"/>
      <c r="Q1827" s="131"/>
      <c r="R1827" s="131"/>
      <c r="S1827" s="131"/>
      <c r="T1827" s="131"/>
      <c r="U1827" s="131"/>
      <c r="V1827" s="131"/>
      <c r="W1827" s="131"/>
      <c r="X1827" s="131"/>
      <c r="Y1827" s="131"/>
      <c r="Z1827" s="131"/>
      <c r="AA1827" s="131"/>
      <c r="AB1827" s="131"/>
      <c r="AC1827" s="131"/>
    </row>
    <row r="1828" spans="4:29" x14ac:dyDescent="0.2">
      <c r="D1828" s="131"/>
      <c r="E1828" s="131"/>
      <c r="F1828" s="131"/>
      <c r="G1828" s="131"/>
      <c r="H1828" s="340"/>
      <c r="L1828" s="131"/>
      <c r="M1828" s="131"/>
      <c r="N1828" s="131"/>
      <c r="O1828" s="131"/>
      <c r="P1828" s="131"/>
      <c r="Q1828" s="131"/>
      <c r="R1828" s="131"/>
      <c r="S1828" s="131"/>
      <c r="T1828" s="131"/>
      <c r="U1828" s="131"/>
      <c r="V1828" s="131"/>
      <c r="W1828" s="131"/>
      <c r="X1828" s="131"/>
      <c r="Y1828" s="131"/>
      <c r="Z1828" s="131"/>
      <c r="AA1828" s="131"/>
      <c r="AB1828" s="131"/>
      <c r="AC1828" s="131"/>
    </row>
    <row r="1829" spans="4:29" x14ac:dyDescent="0.2">
      <c r="D1829" s="131"/>
      <c r="E1829" s="131"/>
      <c r="F1829" s="131"/>
      <c r="G1829" s="131"/>
      <c r="H1829" s="340"/>
      <c r="L1829" s="131"/>
      <c r="M1829" s="131"/>
      <c r="N1829" s="131"/>
      <c r="O1829" s="131"/>
      <c r="P1829" s="131"/>
      <c r="Q1829" s="131"/>
      <c r="R1829" s="131"/>
      <c r="S1829" s="131"/>
      <c r="T1829" s="131"/>
      <c r="U1829" s="131"/>
      <c r="V1829" s="131"/>
      <c r="W1829" s="131"/>
      <c r="X1829" s="131"/>
      <c r="Y1829" s="131"/>
      <c r="Z1829" s="131"/>
      <c r="AA1829" s="131"/>
      <c r="AB1829" s="131"/>
      <c r="AC1829" s="131"/>
    </row>
    <row r="1830" spans="4:29" x14ac:dyDescent="0.2">
      <c r="D1830" s="131"/>
      <c r="E1830" s="131"/>
      <c r="F1830" s="131"/>
      <c r="G1830" s="131"/>
      <c r="H1830" s="340"/>
      <c r="L1830" s="131"/>
      <c r="M1830" s="131"/>
      <c r="N1830" s="131"/>
      <c r="O1830" s="131"/>
      <c r="P1830" s="131"/>
      <c r="Q1830" s="131"/>
      <c r="R1830" s="131"/>
      <c r="S1830" s="131"/>
      <c r="T1830" s="131"/>
      <c r="U1830" s="131"/>
      <c r="V1830" s="131"/>
      <c r="W1830" s="131"/>
      <c r="X1830" s="131"/>
      <c r="Y1830" s="131"/>
      <c r="Z1830" s="131"/>
      <c r="AA1830" s="131"/>
      <c r="AB1830" s="131"/>
      <c r="AC1830" s="131"/>
    </row>
    <row r="1831" spans="4:29" x14ac:dyDescent="0.2">
      <c r="D1831" s="131"/>
      <c r="E1831" s="131"/>
      <c r="F1831" s="131"/>
      <c r="G1831" s="131"/>
      <c r="H1831" s="340"/>
      <c r="L1831" s="131"/>
      <c r="M1831" s="131"/>
      <c r="N1831" s="131"/>
      <c r="O1831" s="131"/>
      <c r="P1831" s="131"/>
      <c r="Q1831" s="131"/>
      <c r="R1831" s="131"/>
      <c r="S1831" s="131"/>
      <c r="T1831" s="131"/>
      <c r="U1831" s="131"/>
      <c r="V1831" s="131"/>
      <c r="W1831" s="131"/>
      <c r="X1831" s="131"/>
      <c r="Y1831" s="131"/>
      <c r="Z1831" s="131"/>
      <c r="AA1831" s="131"/>
      <c r="AB1831" s="131"/>
      <c r="AC1831" s="131"/>
    </row>
    <row r="1832" spans="4:29" x14ac:dyDescent="0.2">
      <c r="D1832" s="131"/>
      <c r="E1832" s="131"/>
      <c r="F1832" s="131"/>
      <c r="G1832" s="131"/>
      <c r="H1832" s="340"/>
      <c r="L1832" s="131"/>
      <c r="M1832" s="131"/>
      <c r="N1832" s="131"/>
      <c r="O1832" s="131"/>
      <c r="P1832" s="131"/>
      <c r="Q1832" s="131"/>
      <c r="R1832" s="131"/>
      <c r="S1832" s="131"/>
      <c r="T1832" s="131"/>
      <c r="U1832" s="131"/>
      <c r="V1832" s="131"/>
      <c r="W1832" s="131"/>
      <c r="X1832" s="131"/>
      <c r="Y1832" s="131"/>
      <c r="Z1832" s="131"/>
      <c r="AA1832" s="131"/>
      <c r="AB1832" s="131"/>
      <c r="AC1832" s="131"/>
    </row>
    <row r="1833" spans="4:29" x14ac:dyDescent="0.2">
      <c r="D1833" s="131"/>
      <c r="E1833" s="131"/>
      <c r="F1833" s="131"/>
      <c r="G1833" s="131"/>
      <c r="H1833" s="340"/>
      <c r="L1833" s="131"/>
      <c r="M1833" s="131"/>
      <c r="N1833" s="131"/>
      <c r="O1833" s="131"/>
      <c r="P1833" s="131"/>
      <c r="Q1833" s="131"/>
      <c r="R1833" s="131"/>
      <c r="S1833" s="131"/>
      <c r="T1833" s="131"/>
      <c r="U1833" s="131"/>
      <c r="V1833" s="131"/>
      <c r="W1833" s="131"/>
      <c r="X1833" s="131"/>
      <c r="Y1833" s="131"/>
      <c r="Z1833" s="131"/>
      <c r="AA1833" s="131"/>
      <c r="AB1833" s="131"/>
      <c r="AC1833" s="131"/>
    </row>
    <row r="1834" spans="4:29" x14ac:dyDescent="0.2">
      <c r="D1834" s="131"/>
      <c r="E1834" s="131"/>
      <c r="F1834" s="131"/>
      <c r="G1834" s="131"/>
      <c r="H1834" s="340"/>
      <c r="L1834" s="131"/>
      <c r="M1834" s="131"/>
      <c r="N1834" s="131"/>
      <c r="O1834" s="131"/>
      <c r="P1834" s="131"/>
      <c r="Q1834" s="131"/>
      <c r="R1834" s="131"/>
      <c r="S1834" s="131"/>
      <c r="T1834" s="131"/>
      <c r="U1834" s="131"/>
      <c r="V1834" s="131"/>
      <c r="W1834" s="131"/>
      <c r="X1834" s="131"/>
      <c r="Y1834" s="131"/>
      <c r="Z1834" s="131"/>
      <c r="AA1834" s="131"/>
      <c r="AB1834" s="131"/>
      <c r="AC1834" s="131"/>
    </row>
    <row r="1835" spans="4:29" x14ac:dyDescent="0.2">
      <c r="D1835" s="131"/>
      <c r="E1835" s="131"/>
      <c r="F1835" s="131"/>
      <c r="G1835" s="131"/>
      <c r="H1835" s="340"/>
      <c r="L1835" s="131"/>
      <c r="M1835" s="131"/>
      <c r="N1835" s="131"/>
      <c r="O1835" s="131"/>
      <c r="P1835" s="131"/>
      <c r="Q1835" s="131"/>
      <c r="R1835" s="131"/>
      <c r="S1835" s="131"/>
      <c r="T1835" s="131"/>
      <c r="U1835" s="131"/>
      <c r="V1835" s="131"/>
      <c r="W1835" s="131"/>
      <c r="X1835" s="131"/>
      <c r="Y1835" s="131"/>
      <c r="Z1835" s="131"/>
      <c r="AA1835" s="131"/>
      <c r="AB1835" s="131"/>
      <c r="AC1835" s="131"/>
    </row>
    <row r="1836" spans="4:29" x14ac:dyDescent="0.2">
      <c r="D1836" s="131"/>
      <c r="E1836" s="131"/>
      <c r="F1836" s="131"/>
      <c r="G1836" s="131"/>
      <c r="H1836" s="340"/>
      <c r="L1836" s="131"/>
      <c r="M1836" s="131"/>
      <c r="N1836" s="131"/>
      <c r="O1836" s="131"/>
      <c r="P1836" s="131"/>
      <c r="Q1836" s="131"/>
      <c r="R1836" s="131"/>
      <c r="S1836" s="131"/>
      <c r="T1836" s="131"/>
      <c r="U1836" s="131"/>
      <c r="V1836" s="131"/>
      <c r="W1836" s="131"/>
      <c r="X1836" s="131"/>
      <c r="Y1836" s="131"/>
      <c r="Z1836" s="131"/>
      <c r="AA1836" s="131"/>
      <c r="AB1836" s="131"/>
      <c r="AC1836" s="131"/>
    </row>
    <row r="1837" spans="4:29" x14ac:dyDescent="0.2">
      <c r="D1837" s="131"/>
      <c r="E1837" s="131"/>
      <c r="F1837" s="131"/>
      <c r="G1837" s="131"/>
      <c r="H1837" s="340"/>
      <c r="L1837" s="131"/>
      <c r="M1837" s="131"/>
      <c r="N1837" s="131"/>
      <c r="O1837" s="131"/>
      <c r="P1837" s="131"/>
      <c r="Q1837" s="131"/>
      <c r="R1837" s="131"/>
      <c r="S1837" s="131"/>
      <c r="T1837" s="131"/>
      <c r="U1837" s="131"/>
      <c r="V1837" s="131"/>
      <c r="W1837" s="131"/>
      <c r="X1837" s="131"/>
      <c r="Y1837" s="131"/>
      <c r="Z1837" s="131"/>
      <c r="AA1837" s="131"/>
      <c r="AB1837" s="131"/>
      <c r="AC1837" s="131"/>
    </row>
    <row r="1838" spans="4:29" x14ac:dyDescent="0.2">
      <c r="D1838" s="131"/>
      <c r="E1838" s="131"/>
      <c r="F1838" s="131"/>
      <c r="G1838" s="131"/>
      <c r="H1838" s="340"/>
      <c r="L1838" s="131"/>
      <c r="M1838" s="131"/>
      <c r="N1838" s="131"/>
      <c r="O1838" s="131"/>
      <c r="P1838" s="131"/>
      <c r="Q1838" s="131"/>
      <c r="R1838" s="131"/>
      <c r="S1838" s="131"/>
      <c r="T1838" s="131"/>
      <c r="U1838" s="131"/>
      <c r="V1838" s="131"/>
      <c r="W1838" s="131"/>
      <c r="X1838" s="131"/>
      <c r="Y1838" s="131"/>
      <c r="Z1838" s="131"/>
      <c r="AA1838" s="131"/>
      <c r="AB1838" s="131"/>
      <c r="AC1838" s="131"/>
    </row>
    <row r="1839" spans="4:29" x14ac:dyDescent="0.2">
      <c r="D1839" s="131"/>
      <c r="E1839" s="131"/>
      <c r="F1839" s="131"/>
      <c r="G1839" s="131"/>
      <c r="H1839" s="340"/>
      <c r="L1839" s="131"/>
      <c r="M1839" s="131"/>
      <c r="N1839" s="131"/>
      <c r="O1839" s="131"/>
      <c r="P1839" s="131"/>
      <c r="Q1839" s="131"/>
      <c r="R1839" s="131"/>
      <c r="S1839" s="131"/>
      <c r="T1839" s="131"/>
      <c r="U1839" s="131"/>
      <c r="V1839" s="131"/>
      <c r="W1839" s="131"/>
      <c r="X1839" s="131"/>
      <c r="Y1839" s="131"/>
      <c r="Z1839" s="131"/>
      <c r="AA1839" s="131"/>
      <c r="AB1839" s="131"/>
      <c r="AC1839" s="131"/>
    </row>
    <row r="1840" spans="4:29" x14ac:dyDescent="0.2">
      <c r="D1840" s="131"/>
      <c r="E1840" s="131"/>
      <c r="F1840" s="131"/>
      <c r="G1840" s="131"/>
      <c r="H1840" s="340"/>
      <c r="L1840" s="131"/>
      <c r="M1840" s="131"/>
      <c r="N1840" s="131"/>
      <c r="O1840" s="131"/>
      <c r="P1840" s="131"/>
      <c r="Q1840" s="131"/>
      <c r="R1840" s="131"/>
      <c r="S1840" s="131"/>
      <c r="T1840" s="131"/>
      <c r="U1840" s="131"/>
      <c r="V1840" s="131"/>
      <c r="W1840" s="131"/>
      <c r="X1840" s="131"/>
      <c r="Y1840" s="131"/>
      <c r="Z1840" s="131"/>
      <c r="AA1840" s="131"/>
      <c r="AB1840" s="131"/>
      <c r="AC1840" s="131"/>
    </row>
    <row r="1841" spans="4:29" x14ac:dyDescent="0.2">
      <c r="D1841" s="131"/>
      <c r="E1841" s="131"/>
      <c r="F1841" s="131"/>
      <c r="G1841" s="131"/>
      <c r="H1841" s="340"/>
      <c r="L1841" s="131"/>
      <c r="M1841" s="131"/>
      <c r="N1841" s="131"/>
      <c r="O1841" s="131"/>
      <c r="P1841" s="131"/>
      <c r="Q1841" s="131"/>
      <c r="R1841" s="131"/>
      <c r="S1841" s="131"/>
      <c r="T1841" s="131"/>
      <c r="U1841" s="131"/>
      <c r="V1841" s="131"/>
      <c r="W1841" s="131"/>
      <c r="X1841" s="131"/>
      <c r="Y1841" s="131"/>
      <c r="Z1841" s="131"/>
      <c r="AA1841" s="131"/>
      <c r="AB1841" s="131"/>
      <c r="AC1841" s="131"/>
    </row>
    <row r="1842" spans="4:29" x14ac:dyDescent="0.2">
      <c r="D1842" s="131"/>
      <c r="E1842" s="131"/>
      <c r="F1842" s="131"/>
      <c r="G1842" s="131"/>
      <c r="H1842" s="340"/>
      <c r="L1842" s="131"/>
      <c r="M1842" s="131"/>
      <c r="N1842" s="131"/>
      <c r="O1842" s="131"/>
      <c r="P1842" s="131"/>
      <c r="Q1842" s="131"/>
      <c r="R1842" s="131"/>
      <c r="S1842" s="131"/>
      <c r="T1842" s="131"/>
      <c r="U1842" s="131"/>
      <c r="V1842" s="131"/>
      <c r="W1842" s="131"/>
      <c r="X1842" s="131"/>
      <c r="Y1842" s="131"/>
      <c r="Z1842" s="131"/>
      <c r="AA1842" s="131"/>
      <c r="AB1842" s="131"/>
      <c r="AC1842" s="131"/>
    </row>
    <row r="1843" spans="4:29" x14ac:dyDescent="0.2">
      <c r="D1843" s="131"/>
      <c r="E1843" s="131"/>
      <c r="F1843" s="131"/>
      <c r="G1843" s="131"/>
      <c r="H1843" s="340"/>
      <c r="L1843" s="131"/>
      <c r="M1843" s="131"/>
      <c r="N1843" s="131"/>
      <c r="O1843" s="131"/>
      <c r="P1843" s="131"/>
      <c r="Q1843" s="131"/>
      <c r="R1843" s="131"/>
      <c r="S1843" s="131"/>
      <c r="T1843" s="131"/>
      <c r="U1843" s="131"/>
      <c r="V1843" s="131"/>
      <c r="W1843" s="131"/>
      <c r="X1843" s="131"/>
      <c r="Y1843" s="131"/>
      <c r="Z1843" s="131"/>
      <c r="AA1843" s="131"/>
      <c r="AB1843" s="131"/>
      <c r="AC1843" s="131"/>
    </row>
    <row r="1844" spans="4:29" x14ac:dyDescent="0.2">
      <c r="D1844" s="131"/>
      <c r="E1844" s="131"/>
      <c r="F1844" s="131"/>
      <c r="G1844" s="131"/>
      <c r="H1844" s="340"/>
      <c r="L1844" s="131"/>
      <c r="M1844" s="131"/>
      <c r="N1844" s="131"/>
      <c r="O1844" s="131"/>
      <c r="P1844" s="131"/>
      <c r="Q1844" s="131"/>
      <c r="R1844" s="131"/>
      <c r="S1844" s="131"/>
      <c r="T1844" s="131"/>
      <c r="U1844" s="131"/>
      <c r="V1844" s="131"/>
      <c r="W1844" s="131"/>
      <c r="X1844" s="131"/>
      <c r="Y1844" s="131"/>
      <c r="Z1844" s="131"/>
      <c r="AA1844" s="131"/>
      <c r="AB1844" s="131"/>
      <c r="AC1844" s="131"/>
    </row>
    <row r="1845" spans="4:29" x14ac:dyDescent="0.2">
      <c r="D1845" s="131"/>
      <c r="E1845" s="131"/>
      <c r="F1845" s="131"/>
      <c r="G1845" s="131"/>
      <c r="H1845" s="340"/>
      <c r="L1845" s="131"/>
      <c r="M1845" s="131"/>
      <c r="N1845" s="131"/>
      <c r="O1845" s="131"/>
      <c r="P1845" s="131"/>
      <c r="Q1845" s="131"/>
      <c r="R1845" s="131"/>
      <c r="S1845" s="131"/>
      <c r="T1845" s="131"/>
      <c r="U1845" s="131"/>
      <c r="V1845" s="131"/>
      <c r="W1845" s="131"/>
      <c r="X1845" s="131"/>
      <c r="Y1845" s="131"/>
      <c r="Z1845" s="131"/>
      <c r="AA1845" s="131"/>
      <c r="AB1845" s="131"/>
      <c r="AC1845" s="131"/>
    </row>
    <row r="1846" spans="4:29" x14ac:dyDescent="0.2">
      <c r="D1846" s="131"/>
      <c r="E1846" s="131"/>
      <c r="F1846" s="131"/>
      <c r="G1846" s="131"/>
      <c r="H1846" s="340"/>
      <c r="L1846" s="131"/>
      <c r="M1846" s="131"/>
      <c r="N1846" s="131"/>
      <c r="O1846" s="131"/>
      <c r="P1846" s="131"/>
      <c r="Q1846" s="131"/>
      <c r="R1846" s="131"/>
      <c r="S1846" s="131"/>
      <c r="T1846" s="131"/>
      <c r="U1846" s="131"/>
      <c r="V1846" s="131"/>
      <c r="W1846" s="131"/>
      <c r="X1846" s="131"/>
      <c r="Y1846" s="131"/>
      <c r="Z1846" s="131"/>
      <c r="AA1846" s="131"/>
      <c r="AB1846" s="131"/>
      <c r="AC1846" s="131"/>
    </row>
    <row r="1847" spans="4:29" x14ac:dyDescent="0.2">
      <c r="D1847" s="131"/>
      <c r="E1847" s="131"/>
      <c r="F1847" s="131"/>
      <c r="G1847" s="131"/>
      <c r="H1847" s="340"/>
      <c r="L1847" s="131"/>
      <c r="M1847" s="131"/>
      <c r="N1847" s="131"/>
      <c r="O1847" s="131"/>
      <c r="P1847" s="131"/>
      <c r="Q1847" s="131"/>
      <c r="R1847" s="131"/>
      <c r="S1847" s="131"/>
      <c r="T1847" s="131"/>
      <c r="U1847" s="131"/>
      <c r="V1847" s="131"/>
      <c r="W1847" s="131"/>
      <c r="X1847" s="131"/>
      <c r="Y1847" s="131"/>
      <c r="Z1847" s="131"/>
      <c r="AA1847" s="131"/>
      <c r="AB1847" s="131"/>
      <c r="AC1847" s="131"/>
    </row>
    <row r="1848" spans="4:29" x14ac:dyDescent="0.2">
      <c r="D1848" s="131"/>
      <c r="E1848" s="131"/>
      <c r="F1848" s="131"/>
      <c r="G1848" s="131"/>
      <c r="H1848" s="340"/>
      <c r="L1848" s="131"/>
      <c r="M1848" s="131"/>
      <c r="N1848" s="131"/>
      <c r="O1848" s="131"/>
      <c r="P1848" s="131"/>
      <c r="Q1848" s="131"/>
      <c r="R1848" s="131"/>
      <c r="S1848" s="131"/>
      <c r="T1848" s="131"/>
      <c r="U1848" s="131"/>
      <c r="V1848" s="131"/>
      <c r="W1848" s="131"/>
      <c r="X1848" s="131"/>
      <c r="Y1848" s="131"/>
      <c r="Z1848" s="131"/>
      <c r="AA1848" s="131"/>
      <c r="AB1848" s="131"/>
      <c r="AC1848" s="131"/>
    </row>
    <row r="1849" spans="4:29" x14ac:dyDescent="0.2">
      <c r="D1849" s="131"/>
      <c r="E1849" s="131"/>
      <c r="F1849" s="131"/>
      <c r="G1849" s="131"/>
      <c r="H1849" s="340"/>
      <c r="L1849" s="131"/>
      <c r="M1849" s="131"/>
      <c r="N1849" s="131"/>
      <c r="O1849" s="131"/>
      <c r="P1849" s="131"/>
      <c r="Q1849" s="131"/>
      <c r="R1849" s="131"/>
      <c r="S1849" s="131"/>
      <c r="T1849" s="131"/>
      <c r="U1849" s="131"/>
      <c r="V1849" s="131"/>
      <c r="W1849" s="131"/>
      <c r="X1849" s="131"/>
      <c r="Y1849" s="131"/>
      <c r="Z1849" s="131"/>
      <c r="AA1849" s="131"/>
      <c r="AB1849" s="131"/>
      <c r="AC1849" s="131"/>
    </row>
    <row r="1850" spans="4:29" x14ac:dyDescent="0.2">
      <c r="D1850" s="131"/>
      <c r="E1850" s="131"/>
      <c r="F1850" s="131"/>
      <c r="G1850" s="131"/>
      <c r="H1850" s="340"/>
      <c r="L1850" s="131"/>
      <c r="M1850" s="131"/>
      <c r="N1850" s="131"/>
      <c r="O1850" s="131"/>
      <c r="P1850" s="131"/>
      <c r="Q1850" s="131"/>
      <c r="R1850" s="131"/>
      <c r="S1850" s="131"/>
      <c r="T1850" s="131"/>
      <c r="U1850" s="131"/>
      <c r="V1850" s="131"/>
      <c r="W1850" s="131"/>
      <c r="X1850" s="131"/>
      <c r="Y1850" s="131"/>
      <c r="Z1850" s="131"/>
      <c r="AA1850" s="131"/>
      <c r="AB1850" s="131"/>
      <c r="AC1850" s="131"/>
    </row>
    <row r="1851" spans="4:29" x14ac:dyDescent="0.2">
      <c r="D1851" s="131"/>
      <c r="E1851" s="131"/>
      <c r="F1851" s="131"/>
      <c r="G1851" s="131"/>
      <c r="H1851" s="340"/>
      <c r="L1851" s="131"/>
      <c r="M1851" s="131"/>
      <c r="N1851" s="131"/>
      <c r="O1851" s="131"/>
      <c r="P1851" s="131"/>
      <c r="Q1851" s="131"/>
      <c r="R1851" s="131"/>
      <c r="S1851" s="131"/>
      <c r="T1851" s="131"/>
      <c r="U1851" s="131"/>
      <c r="V1851" s="131"/>
      <c r="W1851" s="131"/>
      <c r="X1851" s="131"/>
      <c r="Y1851" s="131"/>
      <c r="Z1851" s="131"/>
      <c r="AA1851" s="131"/>
      <c r="AB1851" s="131"/>
      <c r="AC1851" s="131"/>
    </row>
    <row r="1852" spans="4:29" x14ac:dyDescent="0.2">
      <c r="D1852" s="131"/>
      <c r="E1852" s="131"/>
      <c r="F1852" s="131"/>
      <c r="G1852" s="131"/>
      <c r="H1852" s="340"/>
      <c r="L1852" s="131"/>
      <c r="M1852" s="131"/>
      <c r="N1852" s="131"/>
      <c r="O1852" s="131"/>
      <c r="P1852" s="131"/>
      <c r="Q1852" s="131"/>
      <c r="R1852" s="131"/>
      <c r="S1852" s="131"/>
      <c r="T1852" s="131"/>
      <c r="U1852" s="131"/>
      <c r="V1852" s="131"/>
      <c r="W1852" s="131"/>
      <c r="X1852" s="131"/>
      <c r="Y1852" s="131"/>
      <c r="Z1852" s="131"/>
      <c r="AA1852" s="131"/>
      <c r="AB1852" s="131"/>
      <c r="AC1852" s="131"/>
    </row>
    <row r="1853" spans="4:29" x14ac:dyDescent="0.2">
      <c r="D1853" s="131"/>
      <c r="E1853" s="131"/>
      <c r="F1853" s="131"/>
      <c r="G1853" s="131"/>
      <c r="H1853" s="340"/>
      <c r="L1853" s="131"/>
      <c r="M1853" s="131"/>
      <c r="N1853" s="131"/>
      <c r="O1853" s="131"/>
      <c r="P1853" s="131"/>
      <c r="Q1853" s="131"/>
      <c r="R1853" s="131"/>
      <c r="S1853" s="131"/>
      <c r="T1853" s="131"/>
      <c r="U1853" s="131"/>
      <c r="V1853" s="131"/>
      <c r="W1853" s="131"/>
      <c r="X1853" s="131"/>
      <c r="Y1853" s="131"/>
      <c r="Z1853" s="131"/>
      <c r="AA1853" s="131"/>
      <c r="AB1853" s="131"/>
      <c r="AC1853" s="131"/>
    </row>
    <row r="1854" spans="4:29" x14ac:dyDescent="0.2">
      <c r="D1854" s="131"/>
      <c r="E1854" s="131"/>
      <c r="F1854" s="131"/>
      <c r="G1854" s="131"/>
      <c r="H1854" s="340"/>
      <c r="L1854" s="131"/>
      <c r="M1854" s="131"/>
      <c r="N1854" s="131"/>
      <c r="O1854" s="131"/>
      <c r="P1854" s="131"/>
      <c r="Q1854" s="131"/>
      <c r="R1854" s="131"/>
      <c r="S1854" s="131"/>
      <c r="T1854" s="131"/>
      <c r="U1854" s="131"/>
      <c r="V1854" s="131"/>
      <c r="W1854" s="131"/>
      <c r="X1854" s="131"/>
      <c r="Y1854" s="131"/>
      <c r="Z1854" s="131"/>
      <c r="AA1854" s="131"/>
      <c r="AB1854" s="131"/>
      <c r="AC1854" s="131"/>
    </row>
    <row r="1855" spans="4:29" x14ac:dyDescent="0.2">
      <c r="D1855" s="131"/>
      <c r="E1855" s="131"/>
      <c r="F1855" s="131"/>
      <c r="G1855" s="131"/>
      <c r="H1855" s="340"/>
      <c r="L1855" s="131"/>
      <c r="M1855" s="131"/>
      <c r="N1855" s="131"/>
      <c r="O1855" s="131"/>
      <c r="P1855" s="131"/>
      <c r="Q1855" s="131"/>
      <c r="R1855" s="131"/>
      <c r="S1855" s="131"/>
      <c r="T1855" s="131"/>
      <c r="U1855" s="131"/>
      <c r="V1855" s="131"/>
      <c r="W1855" s="131"/>
      <c r="X1855" s="131"/>
      <c r="Y1855" s="131"/>
      <c r="Z1855" s="131"/>
      <c r="AA1855" s="131"/>
      <c r="AB1855" s="131"/>
      <c r="AC1855" s="131"/>
    </row>
    <row r="1856" spans="4:29" x14ac:dyDescent="0.2">
      <c r="D1856" s="131"/>
      <c r="E1856" s="131"/>
      <c r="F1856" s="131"/>
      <c r="G1856" s="131"/>
      <c r="H1856" s="340"/>
      <c r="L1856" s="131"/>
      <c r="M1856" s="131"/>
      <c r="N1856" s="131"/>
      <c r="O1856" s="131"/>
      <c r="P1856" s="131"/>
      <c r="Q1856" s="131"/>
      <c r="R1856" s="131"/>
      <c r="S1856" s="131"/>
      <c r="T1856" s="131"/>
      <c r="U1856" s="131"/>
      <c r="V1856" s="131"/>
      <c r="W1856" s="131"/>
      <c r="X1856" s="131"/>
      <c r="Y1856" s="131"/>
      <c r="Z1856" s="131"/>
      <c r="AA1856" s="131"/>
      <c r="AB1856" s="131"/>
      <c r="AC1856" s="131"/>
    </row>
    <row r="1857" spans="4:29" x14ac:dyDescent="0.2">
      <c r="D1857" s="131"/>
      <c r="E1857" s="131"/>
      <c r="F1857" s="131"/>
      <c r="G1857" s="131"/>
      <c r="H1857" s="340"/>
      <c r="L1857" s="131"/>
      <c r="M1857" s="131"/>
      <c r="N1857" s="131"/>
      <c r="O1857" s="131"/>
      <c r="P1857" s="131"/>
      <c r="Q1857" s="131"/>
      <c r="R1857" s="131"/>
      <c r="S1857" s="131"/>
      <c r="T1857" s="131"/>
      <c r="U1857" s="131"/>
      <c r="V1857" s="131"/>
      <c r="W1857" s="131"/>
      <c r="X1857" s="131"/>
      <c r="Y1857" s="131"/>
      <c r="Z1857" s="131"/>
      <c r="AA1857" s="131"/>
      <c r="AB1857" s="131"/>
      <c r="AC1857" s="131"/>
    </row>
    <row r="1858" spans="4:29" x14ac:dyDescent="0.2">
      <c r="D1858" s="131"/>
      <c r="E1858" s="131"/>
      <c r="F1858" s="131"/>
      <c r="G1858" s="131"/>
      <c r="H1858" s="340"/>
      <c r="L1858" s="131"/>
      <c r="M1858" s="131"/>
      <c r="N1858" s="131"/>
      <c r="O1858" s="131"/>
      <c r="P1858" s="131"/>
      <c r="Q1858" s="131"/>
      <c r="R1858" s="131"/>
      <c r="S1858" s="131"/>
      <c r="T1858" s="131"/>
      <c r="U1858" s="131"/>
      <c r="V1858" s="131"/>
      <c r="W1858" s="131"/>
      <c r="X1858" s="131"/>
      <c r="Y1858" s="131"/>
      <c r="Z1858" s="131"/>
      <c r="AA1858" s="131"/>
      <c r="AB1858" s="131"/>
      <c r="AC1858" s="131"/>
    </row>
    <row r="1859" spans="4:29" x14ac:dyDescent="0.2">
      <c r="D1859" s="131"/>
      <c r="E1859" s="131"/>
      <c r="F1859" s="131"/>
      <c r="G1859" s="131"/>
      <c r="H1859" s="340"/>
      <c r="L1859" s="131"/>
      <c r="M1859" s="131"/>
      <c r="N1859" s="131"/>
      <c r="O1859" s="131"/>
      <c r="P1859" s="131"/>
      <c r="Q1859" s="131"/>
      <c r="R1859" s="131"/>
      <c r="S1859" s="131"/>
      <c r="T1859" s="131"/>
      <c r="U1859" s="131"/>
      <c r="V1859" s="131"/>
      <c r="W1859" s="131"/>
      <c r="X1859" s="131"/>
      <c r="Y1859" s="131"/>
      <c r="Z1859" s="131"/>
      <c r="AA1859" s="131"/>
      <c r="AB1859" s="131"/>
      <c r="AC1859" s="131"/>
    </row>
    <row r="1860" spans="4:29" x14ac:dyDescent="0.2">
      <c r="D1860" s="131"/>
      <c r="E1860" s="131"/>
      <c r="F1860" s="131"/>
      <c r="G1860" s="131"/>
      <c r="H1860" s="340"/>
      <c r="L1860" s="131"/>
      <c r="M1860" s="131"/>
      <c r="N1860" s="131"/>
      <c r="O1860" s="131"/>
      <c r="P1860" s="131"/>
      <c r="Q1860" s="131"/>
      <c r="R1860" s="131"/>
      <c r="S1860" s="131"/>
      <c r="T1860" s="131"/>
      <c r="U1860" s="131"/>
      <c r="V1860" s="131"/>
      <c r="W1860" s="131"/>
      <c r="X1860" s="131"/>
      <c r="Y1860" s="131"/>
      <c r="Z1860" s="131"/>
      <c r="AA1860" s="131"/>
      <c r="AB1860" s="131"/>
      <c r="AC1860" s="131"/>
    </row>
    <row r="1861" spans="4:29" x14ac:dyDescent="0.2">
      <c r="D1861" s="131"/>
      <c r="E1861" s="131"/>
      <c r="F1861" s="131"/>
      <c r="G1861" s="131"/>
      <c r="H1861" s="340"/>
      <c r="L1861" s="131"/>
      <c r="M1861" s="131"/>
      <c r="N1861" s="131"/>
      <c r="O1861" s="131"/>
      <c r="P1861" s="131"/>
      <c r="Q1861" s="131"/>
      <c r="R1861" s="131"/>
      <c r="S1861" s="131"/>
      <c r="T1861" s="131"/>
      <c r="U1861" s="131"/>
      <c r="V1861" s="131"/>
      <c r="W1861" s="131"/>
      <c r="X1861" s="131"/>
      <c r="Y1861" s="131"/>
      <c r="Z1861" s="131"/>
      <c r="AA1861" s="131"/>
      <c r="AB1861" s="131"/>
      <c r="AC1861" s="131"/>
    </row>
    <row r="1862" spans="4:29" x14ac:dyDescent="0.2">
      <c r="D1862" s="131"/>
      <c r="E1862" s="131"/>
      <c r="F1862" s="131"/>
      <c r="G1862" s="131"/>
      <c r="H1862" s="340"/>
      <c r="L1862" s="131"/>
      <c r="M1862" s="131"/>
      <c r="N1862" s="131"/>
      <c r="O1862" s="131"/>
      <c r="P1862" s="131"/>
      <c r="Q1862" s="131"/>
      <c r="R1862" s="131"/>
      <c r="S1862" s="131"/>
      <c r="T1862" s="131"/>
      <c r="U1862" s="131"/>
      <c r="V1862" s="131"/>
      <c r="W1862" s="131"/>
      <c r="X1862" s="131"/>
      <c r="Y1862" s="131"/>
      <c r="Z1862" s="131"/>
      <c r="AA1862" s="131"/>
      <c r="AB1862" s="131"/>
      <c r="AC1862" s="131"/>
    </row>
    <row r="1863" spans="4:29" x14ac:dyDescent="0.2">
      <c r="D1863" s="131"/>
      <c r="E1863" s="131"/>
      <c r="F1863" s="131"/>
      <c r="G1863" s="131"/>
      <c r="H1863" s="340"/>
      <c r="L1863" s="131"/>
      <c r="M1863" s="131"/>
      <c r="N1863" s="131"/>
      <c r="O1863" s="131"/>
      <c r="P1863" s="131"/>
      <c r="Q1863" s="131"/>
      <c r="R1863" s="131"/>
      <c r="S1863" s="131"/>
      <c r="T1863" s="131"/>
      <c r="U1863" s="131"/>
      <c r="V1863" s="131"/>
      <c r="W1863" s="131"/>
      <c r="X1863" s="131"/>
      <c r="Y1863" s="131"/>
      <c r="Z1863" s="131"/>
      <c r="AA1863" s="131"/>
      <c r="AB1863" s="131"/>
      <c r="AC1863" s="131"/>
    </row>
    <row r="1864" spans="4:29" x14ac:dyDescent="0.2">
      <c r="D1864" s="131"/>
      <c r="E1864" s="131"/>
      <c r="F1864" s="131"/>
      <c r="G1864" s="131"/>
      <c r="H1864" s="340"/>
      <c r="L1864" s="131"/>
      <c r="M1864" s="131"/>
      <c r="N1864" s="131"/>
      <c r="O1864" s="131"/>
      <c r="P1864" s="131"/>
      <c r="Q1864" s="131"/>
      <c r="R1864" s="131"/>
      <c r="S1864" s="131"/>
      <c r="T1864" s="131"/>
      <c r="U1864" s="131"/>
      <c r="V1864" s="131"/>
      <c r="W1864" s="131"/>
      <c r="X1864" s="131"/>
      <c r="Y1864" s="131"/>
      <c r="Z1864" s="131"/>
      <c r="AA1864" s="131"/>
      <c r="AB1864" s="131"/>
      <c r="AC1864" s="131"/>
    </row>
    <row r="1865" spans="4:29" x14ac:dyDescent="0.2">
      <c r="D1865" s="131"/>
      <c r="E1865" s="131"/>
      <c r="F1865" s="131"/>
      <c r="G1865" s="131"/>
      <c r="H1865" s="340"/>
      <c r="L1865" s="131"/>
      <c r="M1865" s="131"/>
      <c r="N1865" s="131"/>
      <c r="O1865" s="131"/>
      <c r="P1865" s="131"/>
      <c r="Q1865" s="131"/>
      <c r="R1865" s="131"/>
      <c r="S1865" s="131"/>
      <c r="T1865" s="131"/>
      <c r="U1865" s="131"/>
      <c r="V1865" s="131"/>
      <c r="W1865" s="131"/>
      <c r="X1865" s="131"/>
      <c r="Y1865" s="131"/>
      <c r="Z1865" s="131"/>
      <c r="AA1865" s="131"/>
      <c r="AB1865" s="131"/>
      <c r="AC1865" s="131"/>
    </row>
    <row r="1866" spans="4:29" x14ac:dyDescent="0.2">
      <c r="D1866" s="131"/>
      <c r="E1866" s="131"/>
      <c r="F1866" s="131"/>
      <c r="G1866" s="131"/>
      <c r="H1866" s="340"/>
      <c r="L1866" s="131"/>
      <c r="M1866" s="131"/>
      <c r="N1866" s="131"/>
      <c r="O1866" s="131"/>
      <c r="P1866" s="131"/>
      <c r="Q1866" s="131"/>
      <c r="R1866" s="131"/>
      <c r="S1866" s="131"/>
      <c r="T1866" s="131"/>
      <c r="U1866" s="131"/>
      <c r="V1866" s="131"/>
      <c r="W1866" s="131"/>
      <c r="X1866" s="131"/>
      <c r="Y1866" s="131"/>
      <c r="Z1866" s="131"/>
      <c r="AA1866" s="131"/>
      <c r="AB1866" s="131"/>
      <c r="AC1866" s="131"/>
    </row>
    <row r="1867" spans="4:29" x14ac:dyDescent="0.2">
      <c r="D1867" s="131"/>
      <c r="E1867" s="131"/>
      <c r="F1867" s="131"/>
      <c r="G1867" s="131"/>
      <c r="H1867" s="340"/>
      <c r="L1867" s="131"/>
      <c r="M1867" s="131"/>
      <c r="N1867" s="131"/>
      <c r="O1867" s="131"/>
      <c r="P1867" s="131"/>
      <c r="Q1867" s="131"/>
      <c r="R1867" s="131"/>
      <c r="S1867" s="131"/>
      <c r="T1867" s="131"/>
      <c r="U1867" s="131"/>
      <c r="V1867" s="131"/>
      <c r="W1867" s="131"/>
      <c r="X1867" s="131"/>
      <c r="Y1867" s="131"/>
      <c r="Z1867" s="131"/>
      <c r="AA1867" s="131"/>
      <c r="AB1867" s="131"/>
      <c r="AC1867" s="131"/>
    </row>
    <row r="1868" spans="4:29" x14ac:dyDescent="0.2">
      <c r="D1868" s="131"/>
      <c r="E1868" s="131"/>
      <c r="F1868" s="131"/>
      <c r="G1868" s="131"/>
      <c r="H1868" s="340"/>
      <c r="L1868" s="131"/>
      <c r="M1868" s="131"/>
      <c r="N1868" s="131"/>
      <c r="O1868" s="131"/>
      <c r="P1868" s="131"/>
      <c r="Q1868" s="131"/>
      <c r="R1868" s="131"/>
      <c r="S1868" s="131"/>
      <c r="T1868" s="131"/>
      <c r="U1868" s="131"/>
      <c r="V1868" s="131"/>
      <c r="W1868" s="131"/>
      <c r="X1868" s="131"/>
      <c r="Y1868" s="131"/>
      <c r="Z1868" s="131"/>
      <c r="AA1868" s="131"/>
      <c r="AB1868" s="131"/>
      <c r="AC1868" s="131"/>
    </row>
    <row r="1869" spans="4:29" x14ac:dyDescent="0.2">
      <c r="D1869" s="131"/>
      <c r="E1869" s="131"/>
      <c r="F1869" s="131"/>
      <c r="G1869" s="131"/>
      <c r="H1869" s="340"/>
      <c r="L1869" s="131"/>
      <c r="M1869" s="131"/>
      <c r="N1869" s="131"/>
      <c r="O1869" s="131"/>
      <c r="P1869" s="131"/>
      <c r="Q1869" s="131"/>
      <c r="R1869" s="131"/>
      <c r="S1869" s="131"/>
      <c r="T1869" s="131"/>
      <c r="U1869" s="131"/>
      <c r="V1869" s="131"/>
      <c r="W1869" s="131"/>
      <c r="X1869" s="131"/>
      <c r="Y1869" s="131"/>
      <c r="Z1869" s="131"/>
      <c r="AA1869" s="131"/>
      <c r="AB1869" s="131"/>
      <c r="AC1869" s="131"/>
    </row>
    <row r="1870" spans="4:29" x14ac:dyDescent="0.2">
      <c r="D1870" s="131"/>
      <c r="E1870" s="131"/>
      <c r="F1870" s="131"/>
      <c r="G1870" s="131"/>
      <c r="H1870" s="340"/>
      <c r="L1870" s="131"/>
      <c r="M1870" s="131"/>
      <c r="N1870" s="131"/>
      <c r="O1870" s="131"/>
      <c r="P1870" s="131"/>
      <c r="Q1870" s="131"/>
      <c r="R1870" s="131"/>
      <c r="S1870" s="131"/>
      <c r="T1870" s="131"/>
      <c r="U1870" s="131"/>
      <c r="V1870" s="131"/>
      <c r="W1870" s="131"/>
      <c r="X1870" s="131"/>
      <c r="Y1870" s="131"/>
      <c r="Z1870" s="131"/>
      <c r="AA1870" s="131"/>
      <c r="AB1870" s="131"/>
      <c r="AC1870" s="131"/>
    </row>
    <row r="1871" spans="4:29" x14ac:dyDescent="0.2">
      <c r="D1871" s="131"/>
      <c r="E1871" s="131"/>
      <c r="F1871" s="131"/>
      <c r="G1871" s="131"/>
      <c r="H1871" s="340"/>
      <c r="L1871" s="131"/>
      <c r="M1871" s="131"/>
      <c r="N1871" s="131"/>
      <c r="O1871" s="131"/>
      <c r="P1871" s="131"/>
      <c r="Q1871" s="131"/>
      <c r="R1871" s="131"/>
      <c r="S1871" s="131"/>
      <c r="T1871" s="131"/>
      <c r="U1871" s="131"/>
      <c r="V1871" s="131"/>
      <c r="W1871" s="131"/>
      <c r="X1871" s="131"/>
      <c r="Y1871" s="131"/>
      <c r="Z1871" s="131"/>
      <c r="AA1871" s="131"/>
      <c r="AB1871" s="131"/>
      <c r="AC1871" s="131"/>
    </row>
    <row r="1872" spans="4:29" x14ac:dyDescent="0.2">
      <c r="D1872" s="131"/>
      <c r="E1872" s="131"/>
      <c r="F1872" s="131"/>
      <c r="G1872" s="131"/>
      <c r="H1872" s="340"/>
      <c r="L1872" s="131"/>
      <c r="M1872" s="131"/>
      <c r="N1872" s="131"/>
      <c r="O1872" s="131"/>
      <c r="P1872" s="131"/>
      <c r="Q1872" s="131"/>
      <c r="R1872" s="131"/>
      <c r="S1872" s="131"/>
      <c r="T1872" s="131"/>
      <c r="U1872" s="131"/>
      <c r="V1872" s="131"/>
      <c r="W1872" s="131"/>
      <c r="X1872" s="131"/>
      <c r="Y1872" s="131"/>
      <c r="Z1872" s="131"/>
      <c r="AA1872" s="131"/>
      <c r="AB1872" s="131"/>
      <c r="AC1872" s="131"/>
    </row>
    <row r="1873" spans="4:29" x14ac:dyDescent="0.2">
      <c r="D1873" s="131"/>
      <c r="E1873" s="131"/>
      <c r="F1873" s="131"/>
      <c r="G1873" s="131"/>
      <c r="H1873" s="340"/>
      <c r="L1873" s="131"/>
      <c r="M1873" s="131"/>
      <c r="N1873" s="131"/>
      <c r="O1873" s="131"/>
      <c r="P1873" s="131"/>
      <c r="Q1873" s="131"/>
      <c r="R1873" s="131"/>
      <c r="S1873" s="131"/>
      <c r="T1873" s="131"/>
      <c r="U1873" s="131"/>
      <c r="V1873" s="131"/>
      <c r="W1873" s="131"/>
      <c r="X1873" s="131"/>
      <c r="Y1873" s="131"/>
      <c r="Z1873" s="131"/>
      <c r="AA1873" s="131"/>
      <c r="AB1873" s="131"/>
      <c r="AC1873" s="131"/>
    </row>
    <row r="1874" spans="4:29" x14ac:dyDescent="0.2">
      <c r="D1874" s="131"/>
      <c r="E1874" s="131"/>
      <c r="F1874" s="131"/>
      <c r="G1874" s="131"/>
      <c r="H1874" s="340"/>
      <c r="L1874" s="131"/>
      <c r="M1874" s="131"/>
      <c r="N1874" s="131"/>
      <c r="O1874" s="131"/>
      <c r="P1874" s="131"/>
      <c r="Q1874" s="131"/>
      <c r="R1874" s="131"/>
      <c r="S1874" s="131"/>
      <c r="T1874" s="131"/>
      <c r="U1874" s="131"/>
      <c r="V1874" s="131"/>
      <c r="W1874" s="131"/>
      <c r="X1874" s="131"/>
      <c r="Y1874" s="131"/>
      <c r="Z1874" s="131"/>
      <c r="AA1874" s="131"/>
      <c r="AB1874" s="131"/>
      <c r="AC1874" s="131"/>
    </row>
    <row r="1875" spans="4:29" x14ac:dyDescent="0.2">
      <c r="D1875" s="131"/>
      <c r="E1875" s="131"/>
      <c r="F1875" s="131"/>
      <c r="G1875" s="131"/>
      <c r="H1875" s="340"/>
      <c r="L1875" s="131"/>
      <c r="M1875" s="131"/>
      <c r="N1875" s="131"/>
      <c r="O1875" s="131"/>
      <c r="P1875" s="131"/>
      <c r="Q1875" s="131"/>
      <c r="R1875" s="131"/>
      <c r="S1875" s="131"/>
      <c r="T1875" s="131"/>
      <c r="U1875" s="131"/>
      <c r="V1875" s="131"/>
      <c r="W1875" s="131"/>
      <c r="X1875" s="131"/>
      <c r="Y1875" s="131"/>
      <c r="Z1875" s="131"/>
      <c r="AA1875" s="131"/>
      <c r="AB1875" s="131"/>
      <c r="AC1875" s="131"/>
    </row>
    <row r="1876" spans="4:29" x14ac:dyDescent="0.2">
      <c r="D1876" s="131"/>
      <c r="E1876" s="131"/>
      <c r="F1876" s="131"/>
      <c r="G1876" s="131"/>
      <c r="H1876" s="340"/>
      <c r="L1876" s="131"/>
      <c r="M1876" s="131"/>
      <c r="N1876" s="131"/>
      <c r="O1876" s="131"/>
      <c r="P1876" s="131"/>
      <c r="Q1876" s="131"/>
      <c r="R1876" s="131"/>
      <c r="S1876" s="131"/>
      <c r="T1876" s="131"/>
      <c r="U1876" s="131"/>
      <c r="V1876" s="131"/>
      <c r="W1876" s="131"/>
      <c r="X1876" s="131"/>
      <c r="Y1876" s="131"/>
      <c r="Z1876" s="131"/>
      <c r="AA1876" s="131"/>
      <c r="AB1876" s="131"/>
      <c r="AC1876" s="131"/>
    </row>
    <row r="1877" spans="4:29" x14ac:dyDescent="0.2">
      <c r="D1877" s="131"/>
      <c r="E1877" s="131"/>
      <c r="F1877" s="131"/>
      <c r="G1877" s="131"/>
      <c r="H1877" s="340"/>
      <c r="L1877" s="131"/>
      <c r="M1877" s="131"/>
      <c r="N1877" s="131"/>
      <c r="O1877" s="131"/>
      <c r="P1877" s="131"/>
      <c r="Q1877" s="131"/>
      <c r="R1877" s="131"/>
      <c r="S1877" s="131"/>
      <c r="T1877" s="131"/>
      <c r="U1877" s="131"/>
      <c r="V1877" s="131"/>
      <c r="W1877" s="131"/>
      <c r="X1877" s="131"/>
      <c r="Y1877" s="131"/>
      <c r="Z1877" s="131"/>
      <c r="AA1877" s="131"/>
      <c r="AB1877" s="131"/>
      <c r="AC1877" s="131"/>
    </row>
    <row r="1878" spans="4:29" x14ac:dyDescent="0.2">
      <c r="D1878" s="131"/>
      <c r="E1878" s="131"/>
      <c r="F1878" s="131"/>
      <c r="G1878" s="131"/>
      <c r="H1878" s="340"/>
      <c r="L1878" s="131"/>
      <c r="M1878" s="131"/>
      <c r="N1878" s="131"/>
      <c r="O1878" s="131"/>
      <c r="P1878" s="131"/>
      <c r="Q1878" s="131"/>
      <c r="R1878" s="131"/>
      <c r="S1878" s="131"/>
      <c r="T1878" s="131"/>
      <c r="U1878" s="131"/>
      <c r="V1878" s="131"/>
      <c r="W1878" s="131"/>
      <c r="X1878" s="131"/>
      <c r="Y1878" s="131"/>
      <c r="Z1878" s="131"/>
      <c r="AA1878" s="131"/>
      <c r="AB1878" s="131"/>
      <c r="AC1878" s="131"/>
    </row>
    <row r="1879" spans="4:29" x14ac:dyDescent="0.2">
      <c r="D1879" s="131"/>
      <c r="E1879" s="131"/>
      <c r="F1879" s="131"/>
      <c r="G1879" s="131"/>
      <c r="H1879" s="340"/>
      <c r="L1879" s="131"/>
      <c r="M1879" s="131"/>
      <c r="N1879" s="131"/>
      <c r="O1879" s="131"/>
      <c r="P1879" s="131"/>
      <c r="Q1879" s="131"/>
      <c r="R1879" s="131"/>
      <c r="S1879" s="131"/>
      <c r="T1879" s="131"/>
      <c r="U1879" s="131"/>
      <c r="V1879" s="131"/>
      <c r="W1879" s="131"/>
      <c r="X1879" s="131"/>
      <c r="Y1879" s="131"/>
      <c r="Z1879" s="131"/>
      <c r="AA1879" s="131"/>
      <c r="AB1879" s="131"/>
      <c r="AC1879" s="131"/>
    </row>
    <row r="1880" spans="4:29" x14ac:dyDescent="0.2">
      <c r="D1880" s="131"/>
      <c r="E1880" s="131"/>
      <c r="F1880" s="131"/>
      <c r="G1880" s="131"/>
      <c r="H1880" s="340"/>
      <c r="L1880" s="131"/>
      <c r="M1880" s="131"/>
      <c r="N1880" s="131"/>
      <c r="O1880" s="131"/>
      <c r="P1880" s="131"/>
      <c r="Q1880" s="131"/>
      <c r="R1880" s="131"/>
      <c r="S1880" s="131"/>
      <c r="T1880" s="131"/>
      <c r="U1880" s="131"/>
      <c r="V1880" s="131"/>
      <c r="W1880" s="131"/>
      <c r="X1880" s="131"/>
      <c r="Y1880" s="131"/>
      <c r="Z1880" s="131"/>
      <c r="AA1880" s="131"/>
      <c r="AB1880" s="131"/>
      <c r="AC1880" s="131"/>
    </row>
    <row r="1881" spans="4:29" x14ac:dyDescent="0.2">
      <c r="D1881" s="131"/>
      <c r="E1881" s="131"/>
      <c r="F1881" s="131"/>
      <c r="G1881" s="131"/>
      <c r="H1881" s="340"/>
      <c r="L1881" s="131"/>
      <c r="M1881" s="131"/>
      <c r="N1881" s="131"/>
      <c r="O1881" s="131"/>
      <c r="P1881" s="131"/>
      <c r="Q1881" s="131"/>
      <c r="R1881" s="131"/>
      <c r="S1881" s="131"/>
      <c r="T1881" s="131"/>
      <c r="U1881" s="131"/>
      <c r="V1881" s="131"/>
      <c r="W1881" s="131"/>
      <c r="X1881" s="131"/>
      <c r="Y1881" s="131"/>
      <c r="Z1881" s="131"/>
      <c r="AA1881" s="131"/>
      <c r="AB1881" s="131"/>
      <c r="AC1881" s="131"/>
    </row>
    <row r="1882" spans="4:29" x14ac:dyDescent="0.2">
      <c r="D1882" s="131"/>
      <c r="E1882" s="131"/>
      <c r="F1882" s="131"/>
      <c r="G1882" s="131"/>
      <c r="H1882" s="340"/>
      <c r="L1882" s="131"/>
      <c r="M1882" s="131"/>
      <c r="N1882" s="131"/>
      <c r="O1882" s="131"/>
      <c r="P1882" s="131"/>
      <c r="Q1882" s="131"/>
      <c r="R1882" s="131"/>
      <c r="S1882" s="131"/>
      <c r="T1882" s="131"/>
      <c r="U1882" s="131"/>
      <c r="V1882" s="131"/>
      <c r="W1882" s="131"/>
      <c r="X1882" s="131"/>
      <c r="Y1882" s="131"/>
      <c r="Z1882" s="131"/>
      <c r="AA1882" s="131"/>
      <c r="AB1882" s="131"/>
      <c r="AC1882" s="131"/>
    </row>
    <row r="1883" spans="4:29" x14ac:dyDescent="0.2">
      <c r="D1883" s="131"/>
      <c r="E1883" s="131"/>
      <c r="F1883" s="131"/>
      <c r="G1883" s="131"/>
      <c r="H1883" s="340"/>
      <c r="L1883" s="131"/>
      <c r="M1883" s="131"/>
      <c r="N1883" s="131"/>
      <c r="O1883" s="131"/>
      <c r="P1883" s="131"/>
      <c r="Q1883" s="131"/>
      <c r="R1883" s="131"/>
      <c r="S1883" s="131"/>
      <c r="T1883" s="131"/>
      <c r="U1883" s="131"/>
      <c r="V1883" s="131"/>
      <c r="W1883" s="131"/>
      <c r="X1883" s="131"/>
      <c r="Y1883" s="131"/>
      <c r="Z1883" s="131"/>
      <c r="AA1883" s="131"/>
      <c r="AB1883" s="131"/>
      <c r="AC1883" s="131"/>
    </row>
    <row r="1884" spans="4:29" x14ac:dyDescent="0.2">
      <c r="D1884" s="131"/>
      <c r="E1884" s="131"/>
      <c r="F1884" s="131"/>
      <c r="G1884" s="131"/>
      <c r="H1884" s="340"/>
      <c r="L1884" s="131"/>
      <c r="M1884" s="131"/>
      <c r="N1884" s="131"/>
      <c r="O1884" s="131"/>
      <c r="P1884" s="131"/>
      <c r="Q1884" s="131"/>
      <c r="R1884" s="131"/>
      <c r="S1884" s="131"/>
      <c r="T1884" s="131"/>
      <c r="U1884" s="131"/>
      <c r="V1884" s="131"/>
      <c r="W1884" s="131"/>
      <c r="X1884" s="131"/>
      <c r="Y1884" s="131"/>
      <c r="Z1884" s="131"/>
      <c r="AA1884" s="131"/>
      <c r="AB1884" s="131"/>
      <c r="AC1884" s="131"/>
    </row>
    <row r="1885" spans="4:29" x14ac:dyDescent="0.2">
      <c r="D1885" s="131"/>
      <c r="E1885" s="131"/>
      <c r="F1885" s="131"/>
      <c r="G1885" s="131"/>
      <c r="H1885" s="340"/>
      <c r="L1885" s="131"/>
      <c r="M1885" s="131"/>
      <c r="N1885" s="131"/>
      <c r="O1885" s="131"/>
      <c r="P1885" s="131"/>
      <c r="Q1885" s="131"/>
      <c r="R1885" s="131"/>
      <c r="S1885" s="131"/>
      <c r="T1885" s="131"/>
      <c r="U1885" s="131"/>
      <c r="V1885" s="131"/>
      <c r="W1885" s="131"/>
      <c r="X1885" s="131"/>
      <c r="Y1885" s="131"/>
      <c r="Z1885" s="131"/>
      <c r="AA1885" s="131"/>
      <c r="AB1885" s="131"/>
      <c r="AC1885" s="131"/>
    </row>
    <row r="1886" spans="4:29" x14ac:dyDescent="0.2">
      <c r="D1886" s="131"/>
      <c r="E1886" s="131"/>
      <c r="F1886" s="131"/>
      <c r="G1886" s="131"/>
      <c r="H1886" s="340"/>
      <c r="L1886" s="131"/>
      <c r="M1886" s="131"/>
      <c r="N1886" s="131"/>
      <c r="O1886" s="131"/>
      <c r="P1886" s="131"/>
      <c r="Q1886" s="131"/>
      <c r="R1886" s="131"/>
      <c r="S1886" s="131"/>
      <c r="T1886" s="131"/>
      <c r="U1886" s="131"/>
      <c r="V1886" s="131"/>
      <c r="W1886" s="131"/>
      <c r="X1886" s="131"/>
      <c r="Y1886" s="131"/>
      <c r="Z1886" s="131"/>
      <c r="AA1886" s="131"/>
      <c r="AB1886" s="131"/>
      <c r="AC1886" s="131"/>
    </row>
    <row r="1887" spans="4:29" x14ac:dyDescent="0.2">
      <c r="D1887" s="131"/>
      <c r="E1887" s="131"/>
      <c r="F1887" s="131"/>
      <c r="G1887" s="131"/>
      <c r="H1887" s="340"/>
      <c r="L1887" s="131"/>
      <c r="M1887" s="131"/>
      <c r="N1887" s="131"/>
      <c r="O1887" s="131"/>
      <c r="P1887" s="131"/>
      <c r="Q1887" s="131"/>
      <c r="R1887" s="131"/>
      <c r="S1887" s="131"/>
      <c r="T1887" s="131"/>
      <c r="U1887" s="131"/>
      <c r="V1887" s="131"/>
      <c r="W1887" s="131"/>
      <c r="X1887" s="131"/>
      <c r="Y1887" s="131"/>
      <c r="Z1887" s="131"/>
      <c r="AA1887" s="131"/>
      <c r="AB1887" s="131"/>
      <c r="AC1887" s="131"/>
    </row>
    <row r="1888" spans="4:29" x14ac:dyDescent="0.2">
      <c r="D1888" s="131"/>
      <c r="E1888" s="131"/>
      <c r="F1888" s="131"/>
      <c r="G1888" s="131"/>
      <c r="H1888" s="340"/>
      <c r="L1888" s="131"/>
      <c r="M1888" s="131"/>
      <c r="N1888" s="131"/>
      <c r="O1888" s="131"/>
      <c r="P1888" s="131"/>
      <c r="Q1888" s="131"/>
      <c r="R1888" s="131"/>
      <c r="S1888" s="131"/>
      <c r="T1888" s="131"/>
      <c r="U1888" s="131"/>
      <c r="V1888" s="131"/>
      <c r="W1888" s="131"/>
      <c r="X1888" s="131"/>
      <c r="Y1888" s="131"/>
      <c r="Z1888" s="131"/>
      <c r="AA1888" s="131"/>
      <c r="AB1888" s="131"/>
      <c r="AC1888" s="131"/>
    </row>
    <row r="1889" spans="4:29" x14ac:dyDescent="0.2">
      <c r="D1889" s="131"/>
      <c r="E1889" s="131"/>
      <c r="F1889" s="131"/>
      <c r="G1889" s="131"/>
      <c r="H1889" s="340"/>
      <c r="L1889" s="131"/>
      <c r="M1889" s="131"/>
      <c r="N1889" s="131"/>
      <c r="O1889" s="131"/>
      <c r="P1889" s="131"/>
      <c r="Q1889" s="131"/>
      <c r="R1889" s="131"/>
      <c r="S1889" s="131"/>
      <c r="T1889" s="131"/>
      <c r="U1889" s="131"/>
      <c r="V1889" s="131"/>
      <c r="W1889" s="131"/>
      <c r="X1889" s="131"/>
      <c r="Y1889" s="131"/>
      <c r="Z1889" s="131"/>
      <c r="AA1889" s="131"/>
      <c r="AB1889" s="131"/>
      <c r="AC1889" s="131"/>
    </row>
    <row r="1890" spans="4:29" x14ac:dyDescent="0.2">
      <c r="D1890" s="131"/>
      <c r="E1890" s="131"/>
      <c r="F1890" s="131"/>
      <c r="G1890" s="131"/>
      <c r="H1890" s="340"/>
      <c r="L1890" s="131"/>
      <c r="M1890" s="131"/>
      <c r="N1890" s="131"/>
      <c r="O1890" s="131"/>
      <c r="P1890" s="131"/>
      <c r="Q1890" s="131"/>
      <c r="R1890" s="131"/>
      <c r="S1890" s="131"/>
      <c r="T1890" s="131"/>
      <c r="U1890" s="131"/>
      <c r="V1890" s="131"/>
      <c r="W1890" s="131"/>
      <c r="X1890" s="131"/>
      <c r="Y1890" s="131"/>
      <c r="Z1890" s="131"/>
      <c r="AA1890" s="131"/>
      <c r="AB1890" s="131"/>
      <c r="AC1890" s="131"/>
    </row>
    <row r="1891" spans="4:29" x14ac:dyDescent="0.2">
      <c r="D1891" s="131"/>
      <c r="E1891" s="131"/>
      <c r="F1891" s="131"/>
      <c r="G1891" s="131"/>
      <c r="H1891" s="340"/>
      <c r="L1891" s="131"/>
      <c r="M1891" s="131"/>
      <c r="N1891" s="131"/>
      <c r="O1891" s="131"/>
      <c r="P1891" s="131"/>
      <c r="Q1891" s="131"/>
      <c r="R1891" s="131"/>
      <c r="S1891" s="131"/>
      <c r="T1891" s="131"/>
      <c r="U1891" s="131"/>
      <c r="V1891" s="131"/>
      <c r="W1891" s="131"/>
      <c r="X1891" s="131"/>
      <c r="Y1891" s="131"/>
      <c r="Z1891" s="131"/>
      <c r="AA1891" s="131"/>
      <c r="AB1891" s="131"/>
      <c r="AC1891" s="131"/>
    </row>
    <row r="1892" spans="4:29" x14ac:dyDescent="0.2">
      <c r="D1892" s="131"/>
      <c r="E1892" s="131"/>
      <c r="F1892" s="131"/>
      <c r="G1892" s="131"/>
      <c r="H1892" s="340"/>
      <c r="L1892" s="131"/>
      <c r="M1892" s="131"/>
      <c r="N1892" s="131"/>
      <c r="O1892" s="131"/>
      <c r="P1892" s="131"/>
      <c r="Q1892" s="131"/>
      <c r="R1892" s="131"/>
      <c r="S1892" s="131"/>
      <c r="T1892" s="131"/>
      <c r="U1892" s="131"/>
      <c r="V1892" s="131"/>
      <c r="W1892" s="131"/>
      <c r="X1892" s="131"/>
      <c r="Y1892" s="131"/>
      <c r="Z1892" s="131"/>
      <c r="AA1892" s="131"/>
      <c r="AB1892" s="131"/>
      <c r="AC1892" s="131"/>
    </row>
    <row r="1893" spans="4:29" x14ac:dyDescent="0.2">
      <c r="D1893" s="131"/>
      <c r="E1893" s="131"/>
      <c r="F1893" s="131"/>
      <c r="G1893" s="131"/>
      <c r="H1893" s="340"/>
      <c r="L1893" s="131"/>
      <c r="M1893" s="131"/>
      <c r="N1893" s="131"/>
      <c r="O1893" s="131"/>
      <c r="P1893" s="131"/>
      <c r="Q1893" s="131"/>
      <c r="R1893" s="131"/>
      <c r="S1893" s="131"/>
      <c r="T1893" s="131"/>
      <c r="U1893" s="131"/>
      <c r="V1893" s="131"/>
      <c r="W1893" s="131"/>
      <c r="X1893" s="131"/>
      <c r="Y1893" s="131"/>
      <c r="Z1893" s="131"/>
      <c r="AA1893" s="131"/>
      <c r="AB1893" s="131"/>
      <c r="AC1893" s="131"/>
    </row>
    <row r="1894" spans="4:29" x14ac:dyDescent="0.2">
      <c r="D1894" s="131"/>
      <c r="E1894" s="131"/>
      <c r="F1894" s="131"/>
      <c r="G1894" s="131"/>
      <c r="H1894" s="340"/>
      <c r="L1894" s="131"/>
      <c r="M1894" s="131"/>
      <c r="N1894" s="131"/>
      <c r="O1894" s="131"/>
      <c r="P1894" s="131"/>
      <c r="Q1894" s="131"/>
      <c r="R1894" s="131"/>
      <c r="S1894" s="131"/>
      <c r="T1894" s="131"/>
      <c r="U1894" s="131"/>
      <c r="V1894" s="131"/>
      <c r="W1894" s="131"/>
      <c r="X1894" s="131"/>
      <c r="Y1894" s="131"/>
      <c r="Z1894" s="131"/>
      <c r="AA1894" s="131"/>
      <c r="AB1894" s="131"/>
      <c r="AC1894" s="131"/>
    </row>
    <row r="1895" spans="4:29" x14ac:dyDescent="0.2">
      <c r="D1895" s="131"/>
      <c r="E1895" s="131"/>
      <c r="F1895" s="131"/>
      <c r="G1895" s="131"/>
      <c r="H1895" s="340"/>
      <c r="L1895" s="131"/>
      <c r="M1895" s="131"/>
      <c r="N1895" s="131"/>
      <c r="O1895" s="131"/>
      <c r="P1895" s="131"/>
      <c r="Q1895" s="131"/>
      <c r="R1895" s="131"/>
      <c r="S1895" s="131"/>
      <c r="T1895" s="131"/>
      <c r="U1895" s="131"/>
      <c r="V1895" s="131"/>
      <c r="W1895" s="131"/>
      <c r="X1895" s="131"/>
      <c r="Y1895" s="131"/>
      <c r="Z1895" s="131"/>
      <c r="AA1895" s="131"/>
      <c r="AB1895" s="131"/>
      <c r="AC1895" s="131"/>
    </row>
    <row r="1896" spans="4:29" x14ac:dyDescent="0.2">
      <c r="D1896" s="131"/>
      <c r="E1896" s="131"/>
      <c r="F1896" s="131"/>
      <c r="G1896" s="131"/>
      <c r="H1896" s="340"/>
      <c r="L1896" s="131"/>
      <c r="M1896" s="131"/>
      <c r="N1896" s="131"/>
      <c r="O1896" s="131"/>
      <c r="P1896" s="131"/>
      <c r="Q1896" s="131"/>
      <c r="R1896" s="131"/>
      <c r="S1896" s="131"/>
      <c r="T1896" s="131"/>
      <c r="U1896" s="131"/>
      <c r="V1896" s="131"/>
      <c r="W1896" s="131"/>
      <c r="X1896" s="131"/>
      <c r="Y1896" s="131"/>
      <c r="Z1896" s="131"/>
      <c r="AA1896" s="131"/>
      <c r="AB1896" s="131"/>
      <c r="AC1896" s="131"/>
    </row>
    <row r="1897" spans="4:29" x14ac:dyDescent="0.2">
      <c r="D1897" s="131"/>
      <c r="E1897" s="131"/>
      <c r="F1897" s="131"/>
      <c r="G1897" s="131"/>
      <c r="H1897" s="340"/>
      <c r="L1897" s="131"/>
      <c r="M1897" s="131"/>
      <c r="N1897" s="131"/>
      <c r="O1897" s="131"/>
      <c r="P1897" s="131"/>
      <c r="Q1897" s="131"/>
      <c r="R1897" s="131"/>
      <c r="S1897" s="131"/>
      <c r="T1897" s="131"/>
      <c r="U1897" s="131"/>
      <c r="V1897" s="131"/>
      <c r="W1897" s="131"/>
      <c r="X1897" s="131"/>
      <c r="Y1897" s="131"/>
      <c r="Z1897" s="131"/>
      <c r="AA1897" s="131"/>
      <c r="AB1897" s="131"/>
      <c r="AC1897" s="131"/>
    </row>
    <row r="1898" spans="4:29" x14ac:dyDescent="0.2">
      <c r="D1898" s="131"/>
      <c r="E1898" s="131"/>
      <c r="F1898" s="131"/>
      <c r="G1898" s="131"/>
      <c r="H1898" s="340"/>
      <c r="L1898" s="131"/>
      <c r="M1898" s="131"/>
      <c r="N1898" s="131"/>
      <c r="O1898" s="131"/>
      <c r="P1898" s="131"/>
      <c r="Q1898" s="131"/>
      <c r="R1898" s="131"/>
      <c r="S1898" s="131"/>
      <c r="T1898" s="131"/>
      <c r="U1898" s="131"/>
      <c r="V1898" s="131"/>
      <c r="W1898" s="131"/>
      <c r="X1898" s="131"/>
      <c r="Y1898" s="131"/>
      <c r="Z1898" s="131"/>
      <c r="AA1898" s="131"/>
      <c r="AB1898" s="131"/>
      <c r="AC1898" s="131"/>
    </row>
    <row r="1899" spans="4:29" x14ac:dyDescent="0.2">
      <c r="D1899" s="131"/>
      <c r="E1899" s="131"/>
      <c r="F1899" s="131"/>
      <c r="G1899" s="131"/>
      <c r="H1899" s="340"/>
      <c r="L1899" s="131"/>
      <c r="M1899" s="131"/>
      <c r="N1899" s="131"/>
      <c r="O1899" s="131"/>
      <c r="P1899" s="131"/>
      <c r="Q1899" s="131"/>
      <c r="R1899" s="131"/>
      <c r="S1899" s="131"/>
      <c r="T1899" s="131"/>
      <c r="U1899" s="131"/>
      <c r="V1899" s="131"/>
      <c r="W1899" s="131"/>
      <c r="X1899" s="131"/>
      <c r="Y1899" s="131"/>
      <c r="Z1899" s="131"/>
      <c r="AA1899" s="131"/>
      <c r="AB1899" s="131"/>
      <c r="AC1899" s="131"/>
    </row>
    <row r="1900" spans="4:29" x14ac:dyDescent="0.2">
      <c r="D1900" s="131"/>
      <c r="E1900" s="131"/>
      <c r="F1900" s="131"/>
      <c r="G1900" s="131"/>
      <c r="H1900" s="340"/>
      <c r="L1900" s="131"/>
      <c r="M1900" s="131"/>
      <c r="N1900" s="131"/>
      <c r="O1900" s="131"/>
      <c r="P1900" s="131"/>
      <c r="Q1900" s="131"/>
      <c r="R1900" s="131"/>
      <c r="S1900" s="131"/>
      <c r="T1900" s="131"/>
      <c r="U1900" s="131"/>
      <c r="V1900" s="131"/>
      <c r="W1900" s="131"/>
      <c r="X1900" s="131"/>
      <c r="Y1900" s="131"/>
      <c r="Z1900" s="131"/>
      <c r="AA1900" s="131"/>
      <c r="AB1900" s="131"/>
      <c r="AC1900" s="131"/>
    </row>
    <row r="1901" spans="4:29" x14ac:dyDescent="0.2">
      <c r="D1901" s="131"/>
      <c r="E1901" s="131"/>
      <c r="F1901" s="131"/>
      <c r="G1901" s="131"/>
      <c r="H1901" s="340"/>
      <c r="L1901" s="131"/>
      <c r="M1901" s="131"/>
      <c r="N1901" s="131"/>
      <c r="O1901" s="131"/>
      <c r="P1901" s="131"/>
      <c r="Q1901" s="131"/>
      <c r="R1901" s="131"/>
      <c r="S1901" s="131"/>
      <c r="T1901" s="131"/>
      <c r="U1901" s="131"/>
      <c r="V1901" s="131"/>
      <c r="W1901" s="131"/>
      <c r="X1901" s="131"/>
      <c r="Y1901" s="131"/>
      <c r="Z1901" s="131"/>
      <c r="AA1901" s="131"/>
      <c r="AB1901" s="131"/>
      <c r="AC1901" s="131"/>
    </row>
    <row r="1902" spans="4:29" x14ac:dyDescent="0.2">
      <c r="D1902" s="131"/>
      <c r="E1902" s="131"/>
      <c r="F1902" s="131"/>
      <c r="G1902" s="131"/>
      <c r="H1902" s="340"/>
      <c r="L1902" s="131"/>
      <c r="M1902" s="131"/>
      <c r="N1902" s="131"/>
      <c r="O1902" s="131"/>
      <c r="P1902" s="131"/>
      <c r="Q1902" s="131"/>
      <c r="R1902" s="131"/>
      <c r="S1902" s="131"/>
      <c r="T1902" s="131"/>
      <c r="U1902" s="131"/>
      <c r="V1902" s="131"/>
      <c r="W1902" s="131"/>
      <c r="X1902" s="131"/>
      <c r="Y1902" s="131"/>
      <c r="Z1902" s="131"/>
      <c r="AA1902" s="131"/>
      <c r="AB1902" s="131"/>
      <c r="AC1902" s="131"/>
    </row>
    <row r="1903" spans="4:29" x14ac:dyDescent="0.2">
      <c r="D1903" s="131"/>
      <c r="E1903" s="131"/>
      <c r="F1903" s="131"/>
      <c r="G1903" s="131"/>
      <c r="H1903" s="340"/>
      <c r="L1903" s="131"/>
      <c r="M1903" s="131"/>
      <c r="N1903" s="131"/>
      <c r="O1903" s="131"/>
      <c r="P1903" s="131"/>
      <c r="Q1903" s="131"/>
      <c r="R1903" s="131"/>
      <c r="S1903" s="131"/>
      <c r="T1903" s="131"/>
      <c r="U1903" s="131"/>
      <c r="V1903" s="131"/>
      <c r="W1903" s="131"/>
      <c r="X1903" s="131"/>
      <c r="Y1903" s="131"/>
      <c r="Z1903" s="131"/>
      <c r="AA1903" s="131"/>
      <c r="AB1903" s="131"/>
      <c r="AC1903" s="131"/>
    </row>
    <row r="1904" spans="4:29" x14ac:dyDescent="0.2">
      <c r="D1904" s="131"/>
      <c r="E1904" s="131"/>
      <c r="F1904" s="131"/>
      <c r="G1904" s="131"/>
      <c r="H1904" s="340"/>
      <c r="L1904" s="131"/>
      <c r="M1904" s="131"/>
      <c r="N1904" s="131"/>
      <c r="O1904" s="131"/>
      <c r="P1904" s="131"/>
      <c r="Q1904" s="131"/>
      <c r="R1904" s="131"/>
      <c r="S1904" s="131"/>
      <c r="T1904" s="131"/>
      <c r="U1904" s="131"/>
      <c r="V1904" s="131"/>
      <c r="W1904" s="131"/>
      <c r="X1904" s="131"/>
      <c r="Y1904" s="131"/>
      <c r="Z1904" s="131"/>
      <c r="AA1904" s="131"/>
      <c r="AB1904" s="131"/>
      <c r="AC1904" s="131"/>
    </row>
    <row r="1905" spans="4:29" x14ac:dyDescent="0.2">
      <c r="D1905" s="131"/>
      <c r="E1905" s="131"/>
      <c r="F1905" s="131"/>
      <c r="G1905" s="131"/>
      <c r="H1905" s="340"/>
      <c r="L1905" s="131"/>
      <c r="M1905" s="131"/>
      <c r="N1905" s="131"/>
      <c r="O1905" s="131"/>
      <c r="P1905" s="131"/>
      <c r="Q1905" s="131"/>
      <c r="R1905" s="131"/>
      <c r="S1905" s="131"/>
      <c r="T1905" s="131"/>
      <c r="U1905" s="131"/>
      <c r="V1905" s="131"/>
      <c r="W1905" s="131"/>
      <c r="X1905" s="131"/>
      <c r="Y1905" s="131"/>
      <c r="Z1905" s="131"/>
      <c r="AA1905" s="131"/>
      <c r="AB1905" s="131"/>
      <c r="AC1905" s="131"/>
    </row>
    <row r="1906" spans="4:29" x14ac:dyDescent="0.2">
      <c r="D1906" s="131"/>
      <c r="E1906" s="131"/>
      <c r="F1906" s="131"/>
      <c r="G1906" s="131"/>
      <c r="H1906" s="340"/>
      <c r="L1906" s="131"/>
      <c r="M1906" s="131"/>
      <c r="N1906" s="131"/>
      <c r="O1906" s="131"/>
      <c r="P1906" s="131"/>
      <c r="Q1906" s="131"/>
      <c r="R1906" s="131"/>
      <c r="S1906" s="131"/>
      <c r="T1906" s="131"/>
      <c r="U1906" s="131"/>
      <c r="V1906" s="131"/>
      <c r="W1906" s="131"/>
      <c r="X1906" s="131"/>
      <c r="Y1906" s="131"/>
      <c r="Z1906" s="131"/>
      <c r="AA1906" s="131"/>
      <c r="AB1906" s="131"/>
      <c r="AC1906" s="131"/>
    </row>
    <row r="1907" spans="4:29" x14ac:dyDescent="0.2">
      <c r="D1907" s="131"/>
      <c r="E1907" s="131"/>
      <c r="F1907" s="131"/>
      <c r="G1907" s="131"/>
      <c r="H1907" s="340"/>
      <c r="L1907" s="131"/>
      <c r="M1907" s="131"/>
      <c r="N1907" s="131"/>
      <c r="O1907" s="131"/>
      <c r="P1907" s="131"/>
      <c r="Q1907" s="131"/>
      <c r="R1907" s="131"/>
      <c r="S1907" s="131"/>
      <c r="T1907" s="131"/>
      <c r="U1907" s="131"/>
      <c r="V1907" s="131"/>
      <c r="W1907" s="131"/>
      <c r="X1907" s="131"/>
      <c r="Y1907" s="131"/>
      <c r="Z1907" s="131"/>
      <c r="AA1907" s="131"/>
      <c r="AB1907" s="131"/>
      <c r="AC1907" s="131"/>
    </row>
    <row r="1908" spans="4:29" x14ac:dyDescent="0.2">
      <c r="D1908" s="131"/>
      <c r="E1908" s="131"/>
      <c r="F1908" s="131"/>
      <c r="G1908" s="131"/>
      <c r="H1908" s="340"/>
      <c r="L1908" s="131"/>
      <c r="M1908" s="131"/>
      <c r="N1908" s="131"/>
      <c r="O1908" s="131"/>
      <c r="P1908" s="131"/>
      <c r="Q1908" s="131"/>
      <c r="R1908" s="131"/>
      <c r="S1908" s="131"/>
      <c r="T1908" s="131"/>
      <c r="U1908" s="131"/>
      <c r="V1908" s="131"/>
      <c r="W1908" s="131"/>
      <c r="X1908" s="131"/>
      <c r="Y1908" s="131"/>
      <c r="Z1908" s="131"/>
      <c r="AA1908" s="131"/>
      <c r="AB1908" s="131"/>
      <c r="AC1908" s="131"/>
    </row>
    <row r="1909" spans="4:29" x14ac:dyDescent="0.2">
      <c r="D1909" s="131"/>
      <c r="E1909" s="131"/>
      <c r="F1909" s="131"/>
      <c r="G1909" s="131"/>
      <c r="H1909" s="340"/>
      <c r="L1909" s="131"/>
      <c r="M1909" s="131"/>
      <c r="N1909" s="131"/>
      <c r="O1909" s="131"/>
      <c r="P1909" s="131"/>
      <c r="Q1909" s="131"/>
      <c r="R1909" s="131"/>
      <c r="S1909" s="131"/>
      <c r="T1909" s="131"/>
      <c r="U1909" s="131"/>
      <c r="V1909" s="131"/>
      <c r="W1909" s="131"/>
      <c r="X1909" s="131"/>
      <c r="Y1909" s="131"/>
      <c r="Z1909" s="131"/>
      <c r="AA1909" s="131"/>
      <c r="AB1909" s="131"/>
      <c r="AC1909" s="131"/>
    </row>
    <row r="1910" spans="4:29" x14ac:dyDescent="0.2">
      <c r="D1910" s="131"/>
      <c r="E1910" s="131"/>
      <c r="F1910" s="131"/>
      <c r="G1910" s="131"/>
      <c r="H1910" s="340"/>
      <c r="L1910" s="131"/>
      <c r="M1910" s="131"/>
      <c r="N1910" s="131"/>
      <c r="O1910" s="131"/>
      <c r="P1910" s="131"/>
      <c r="Q1910" s="131"/>
      <c r="R1910" s="131"/>
      <c r="S1910" s="131"/>
      <c r="T1910" s="131"/>
      <c r="U1910" s="131"/>
      <c r="V1910" s="131"/>
      <c r="W1910" s="131"/>
      <c r="X1910" s="131"/>
      <c r="Y1910" s="131"/>
      <c r="Z1910" s="131"/>
      <c r="AA1910" s="131"/>
      <c r="AB1910" s="131"/>
      <c r="AC1910" s="131"/>
    </row>
    <row r="1911" spans="4:29" x14ac:dyDescent="0.2">
      <c r="D1911" s="131"/>
      <c r="E1911" s="131"/>
      <c r="F1911" s="131"/>
      <c r="G1911" s="131"/>
      <c r="H1911" s="340"/>
      <c r="L1911" s="131"/>
      <c r="M1911" s="131"/>
      <c r="N1911" s="131"/>
      <c r="O1911" s="131"/>
      <c r="P1911" s="131"/>
      <c r="Q1911" s="131"/>
      <c r="R1911" s="131"/>
      <c r="S1911" s="131"/>
      <c r="T1911" s="131"/>
      <c r="U1911" s="131"/>
      <c r="V1911" s="131"/>
      <c r="W1911" s="131"/>
      <c r="X1911" s="131"/>
      <c r="Y1911" s="131"/>
      <c r="Z1911" s="131"/>
      <c r="AA1911" s="131"/>
      <c r="AB1911" s="131"/>
      <c r="AC1911" s="131"/>
    </row>
    <row r="1912" spans="4:29" x14ac:dyDescent="0.2">
      <c r="D1912" s="131"/>
      <c r="E1912" s="131"/>
      <c r="F1912" s="131"/>
      <c r="G1912" s="131"/>
      <c r="H1912" s="340"/>
      <c r="L1912" s="131"/>
      <c r="M1912" s="131"/>
      <c r="N1912" s="131"/>
      <c r="O1912" s="131"/>
      <c r="P1912" s="131"/>
      <c r="Q1912" s="131"/>
      <c r="R1912" s="131"/>
      <c r="S1912" s="131"/>
      <c r="T1912" s="131"/>
      <c r="U1912" s="131"/>
      <c r="V1912" s="131"/>
      <c r="W1912" s="131"/>
      <c r="X1912" s="131"/>
      <c r="Y1912" s="131"/>
      <c r="Z1912" s="131"/>
      <c r="AA1912" s="131"/>
      <c r="AB1912" s="131"/>
      <c r="AC1912" s="131"/>
    </row>
    <row r="1913" spans="4:29" x14ac:dyDescent="0.2">
      <c r="D1913" s="131"/>
      <c r="E1913" s="131"/>
      <c r="F1913" s="131"/>
      <c r="G1913" s="131"/>
      <c r="H1913" s="340"/>
      <c r="L1913" s="131"/>
      <c r="M1913" s="131"/>
      <c r="N1913" s="131"/>
      <c r="O1913" s="131"/>
      <c r="P1913" s="131"/>
      <c r="Q1913" s="131"/>
      <c r="R1913" s="131"/>
      <c r="S1913" s="131"/>
      <c r="T1913" s="131"/>
      <c r="U1913" s="131"/>
      <c r="V1913" s="131"/>
      <c r="W1913" s="131"/>
      <c r="X1913" s="131"/>
      <c r="Y1913" s="131"/>
      <c r="Z1913" s="131"/>
      <c r="AA1913" s="131"/>
      <c r="AB1913" s="131"/>
      <c r="AC1913" s="131"/>
    </row>
    <row r="1914" spans="4:29" x14ac:dyDescent="0.2">
      <c r="D1914" s="131"/>
      <c r="E1914" s="131"/>
      <c r="F1914" s="131"/>
      <c r="G1914" s="131"/>
      <c r="H1914" s="340"/>
      <c r="L1914" s="131"/>
      <c r="M1914" s="131"/>
      <c r="N1914" s="131"/>
      <c r="O1914" s="131"/>
      <c r="P1914" s="131"/>
      <c r="Q1914" s="131"/>
      <c r="R1914" s="131"/>
      <c r="S1914" s="131"/>
      <c r="T1914" s="131"/>
      <c r="U1914" s="131"/>
      <c r="V1914" s="131"/>
      <c r="W1914" s="131"/>
      <c r="X1914" s="131"/>
      <c r="Y1914" s="131"/>
      <c r="Z1914" s="131"/>
      <c r="AA1914" s="131"/>
      <c r="AB1914" s="131"/>
      <c r="AC1914" s="131"/>
    </row>
    <row r="1915" spans="4:29" x14ac:dyDescent="0.2">
      <c r="D1915" s="131"/>
      <c r="E1915" s="131"/>
      <c r="F1915" s="131"/>
      <c r="G1915" s="131"/>
      <c r="H1915" s="340"/>
      <c r="L1915" s="131"/>
      <c r="M1915" s="131"/>
      <c r="N1915" s="131"/>
      <c r="O1915" s="131"/>
      <c r="P1915" s="131"/>
      <c r="Q1915" s="131"/>
      <c r="R1915" s="131"/>
      <c r="S1915" s="131"/>
      <c r="T1915" s="131"/>
      <c r="U1915" s="131"/>
      <c r="V1915" s="131"/>
      <c r="W1915" s="131"/>
      <c r="X1915" s="131"/>
      <c r="Y1915" s="131"/>
      <c r="Z1915" s="131"/>
      <c r="AA1915" s="131"/>
      <c r="AB1915" s="131"/>
      <c r="AC1915" s="131"/>
    </row>
    <row r="1916" spans="4:29" x14ac:dyDescent="0.2">
      <c r="D1916" s="131"/>
      <c r="E1916" s="131"/>
      <c r="F1916" s="131"/>
      <c r="G1916" s="131"/>
      <c r="H1916" s="340"/>
      <c r="L1916" s="131"/>
      <c r="M1916" s="131"/>
      <c r="N1916" s="131"/>
      <c r="O1916" s="131"/>
      <c r="P1916" s="131"/>
      <c r="Q1916" s="131"/>
      <c r="R1916" s="131"/>
      <c r="S1916" s="131"/>
      <c r="T1916" s="131"/>
      <c r="U1916" s="131"/>
      <c r="V1916" s="131"/>
      <c r="W1916" s="131"/>
      <c r="X1916" s="131"/>
      <c r="Y1916" s="131"/>
      <c r="Z1916" s="131"/>
      <c r="AA1916" s="131"/>
      <c r="AB1916" s="131"/>
      <c r="AC1916" s="131"/>
    </row>
    <row r="1917" spans="4:29" x14ac:dyDescent="0.2">
      <c r="D1917" s="131"/>
      <c r="E1917" s="131"/>
      <c r="F1917" s="131"/>
      <c r="G1917" s="131"/>
      <c r="H1917" s="340"/>
      <c r="L1917" s="131"/>
      <c r="M1917" s="131"/>
      <c r="N1917" s="131"/>
      <c r="O1917" s="131"/>
      <c r="P1917" s="131"/>
      <c r="Q1917" s="131"/>
      <c r="R1917" s="131"/>
      <c r="S1917" s="131"/>
      <c r="T1917" s="131"/>
      <c r="U1917" s="131"/>
      <c r="V1917" s="131"/>
      <c r="W1917" s="131"/>
      <c r="X1917" s="131"/>
      <c r="Y1917" s="131"/>
      <c r="Z1917" s="131"/>
      <c r="AA1917" s="131"/>
      <c r="AB1917" s="131"/>
      <c r="AC1917" s="131"/>
    </row>
    <row r="1918" spans="4:29" x14ac:dyDescent="0.2">
      <c r="D1918" s="131"/>
      <c r="E1918" s="131"/>
      <c r="F1918" s="131"/>
      <c r="G1918" s="131"/>
      <c r="H1918" s="340"/>
      <c r="L1918" s="131"/>
      <c r="M1918" s="131"/>
      <c r="N1918" s="131"/>
      <c r="O1918" s="131"/>
      <c r="P1918" s="131"/>
      <c r="Q1918" s="131"/>
      <c r="R1918" s="131"/>
      <c r="S1918" s="131"/>
      <c r="T1918" s="131"/>
      <c r="U1918" s="131"/>
      <c r="V1918" s="131"/>
      <c r="W1918" s="131"/>
      <c r="X1918" s="131"/>
      <c r="Y1918" s="131"/>
      <c r="Z1918" s="131"/>
      <c r="AA1918" s="131"/>
      <c r="AB1918" s="131"/>
      <c r="AC1918" s="131"/>
    </row>
    <row r="1919" spans="4:29" x14ac:dyDescent="0.2">
      <c r="D1919" s="131"/>
      <c r="E1919" s="131"/>
      <c r="F1919" s="131"/>
      <c r="G1919" s="131"/>
      <c r="H1919" s="340"/>
      <c r="L1919" s="131"/>
      <c r="M1919" s="131"/>
      <c r="N1919" s="131"/>
      <c r="O1919" s="131"/>
      <c r="P1919" s="131"/>
      <c r="Q1919" s="131"/>
      <c r="R1919" s="131"/>
      <c r="S1919" s="131"/>
      <c r="T1919" s="131"/>
      <c r="U1919" s="131"/>
      <c r="V1919" s="131"/>
      <c r="W1919" s="131"/>
      <c r="X1919" s="131"/>
      <c r="Y1919" s="131"/>
      <c r="Z1919" s="131"/>
      <c r="AA1919" s="131"/>
      <c r="AB1919" s="131"/>
      <c r="AC1919" s="131"/>
    </row>
    <row r="1920" spans="4:29" x14ac:dyDescent="0.2">
      <c r="D1920" s="131"/>
      <c r="E1920" s="131"/>
      <c r="F1920" s="131"/>
      <c r="G1920" s="131"/>
      <c r="H1920" s="340"/>
      <c r="L1920" s="131"/>
      <c r="M1920" s="131"/>
      <c r="N1920" s="131"/>
      <c r="O1920" s="131"/>
      <c r="P1920" s="131"/>
      <c r="Q1920" s="131"/>
      <c r="R1920" s="131"/>
      <c r="S1920" s="131"/>
      <c r="T1920" s="131"/>
      <c r="U1920" s="131"/>
      <c r="V1920" s="131"/>
      <c r="W1920" s="131"/>
      <c r="X1920" s="131"/>
      <c r="Y1920" s="131"/>
      <c r="Z1920" s="131"/>
      <c r="AA1920" s="131"/>
      <c r="AB1920" s="131"/>
      <c r="AC1920" s="131"/>
    </row>
    <row r="1921" spans="4:29" x14ac:dyDescent="0.2">
      <c r="D1921" s="131"/>
      <c r="E1921" s="131"/>
      <c r="F1921" s="131"/>
      <c r="G1921" s="131"/>
      <c r="H1921" s="340"/>
      <c r="L1921" s="131"/>
      <c r="M1921" s="131"/>
      <c r="N1921" s="131"/>
      <c r="O1921" s="131"/>
      <c r="P1921" s="131"/>
      <c r="Q1921" s="131"/>
      <c r="R1921" s="131"/>
      <c r="S1921" s="131"/>
      <c r="T1921" s="131"/>
      <c r="U1921" s="131"/>
      <c r="V1921" s="131"/>
      <c r="W1921" s="131"/>
      <c r="X1921" s="131"/>
      <c r="Y1921" s="131"/>
      <c r="Z1921" s="131"/>
      <c r="AA1921" s="131"/>
      <c r="AB1921" s="131"/>
      <c r="AC1921" s="131"/>
    </row>
    <row r="1922" spans="4:29" x14ac:dyDescent="0.2">
      <c r="D1922" s="131"/>
      <c r="E1922" s="131"/>
      <c r="F1922" s="131"/>
      <c r="G1922" s="131"/>
      <c r="H1922" s="340"/>
      <c r="L1922" s="131"/>
      <c r="M1922" s="131"/>
      <c r="N1922" s="131"/>
      <c r="O1922" s="131"/>
      <c r="P1922" s="131"/>
      <c r="Q1922" s="131"/>
      <c r="R1922" s="131"/>
      <c r="S1922" s="131"/>
      <c r="T1922" s="131"/>
      <c r="U1922" s="131"/>
      <c r="V1922" s="131"/>
      <c r="W1922" s="131"/>
      <c r="X1922" s="131"/>
      <c r="Y1922" s="131"/>
      <c r="Z1922" s="131"/>
      <c r="AA1922" s="131"/>
      <c r="AB1922" s="131"/>
      <c r="AC1922" s="131"/>
    </row>
    <row r="1923" spans="4:29" x14ac:dyDescent="0.2">
      <c r="D1923" s="131"/>
      <c r="E1923" s="131"/>
      <c r="F1923" s="131"/>
      <c r="G1923" s="131"/>
      <c r="H1923" s="340"/>
      <c r="L1923" s="131"/>
      <c r="M1923" s="131"/>
      <c r="N1923" s="131"/>
      <c r="O1923" s="131"/>
      <c r="P1923" s="131"/>
      <c r="Q1923" s="131"/>
      <c r="R1923" s="131"/>
      <c r="S1923" s="131"/>
      <c r="T1923" s="131"/>
      <c r="U1923" s="131"/>
      <c r="V1923" s="131"/>
      <c r="W1923" s="131"/>
      <c r="X1923" s="131"/>
      <c r="Y1923" s="131"/>
      <c r="Z1923" s="131"/>
      <c r="AA1923" s="131"/>
      <c r="AB1923" s="131"/>
      <c r="AC1923" s="131"/>
    </row>
    <row r="1924" spans="4:29" x14ac:dyDescent="0.2">
      <c r="D1924" s="131"/>
      <c r="E1924" s="131"/>
      <c r="F1924" s="131"/>
      <c r="G1924" s="131"/>
      <c r="H1924" s="340"/>
      <c r="L1924" s="131"/>
      <c r="M1924" s="131"/>
      <c r="N1924" s="131"/>
      <c r="O1924" s="131"/>
      <c r="P1924" s="131"/>
      <c r="Q1924" s="131"/>
      <c r="R1924" s="131"/>
      <c r="S1924" s="131"/>
      <c r="T1924" s="131"/>
      <c r="U1924" s="131"/>
      <c r="V1924" s="131"/>
      <c r="W1924" s="131"/>
      <c r="X1924" s="131"/>
      <c r="Y1924" s="131"/>
      <c r="Z1924" s="131"/>
      <c r="AA1924" s="131"/>
      <c r="AB1924" s="131"/>
      <c r="AC1924" s="131"/>
    </row>
    <row r="1925" spans="4:29" x14ac:dyDescent="0.2">
      <c r="D1925" s="131"/>
      <c r="E1925" s="131"/>
      <c r="F1925" s="131"/>
      <c r="G1925" s="131"/>
      <c r="H1925" s="340"/>
      <c r="L1925" s="131"/>
      <c r="M1925" s="131"/>
      <c r="N1925" s="131"/>
      <c r="O1925" s="131"/>
      <c r="P1925" s="131"/>
      <c r="Q1925" s="131"/>
      <c r="R1925" s="131"/>
      <c r="S1925" s="131"/>
      <c r="T1925" s="131"/>
      <c r="U1925" s="131"/>
      <c r="V1925" s="131"/>
      <c r="W1925" s="131"/>
      <c r="X1925" s="131"/>
      <c r="Y1925" s="131"/>
      <c r="Z1925" s="131"/>
      <c r="AA1925" s="131"/>
      <c r="AB1925" s="131"/>
      <c r="AC1925" s="131"/>
    </row>
    <row r="1926" spans="4:29" x14ac:dyDescent="0.2">
      <c r="D1926" s="131"/>
      <c r="E1926" s="131"/>
      <c r="F1926" s="131"/>
      <c r="G1926" s="131"/>
      <c r="H1926" s="340"/>
      <c r="L1926" s="131"/>
      <c r="M1926" s="131"/>
      <c r="N1926" s="131"/>
      <c r="O1926" s="131"/>
      <c r="P1926" s="131"/>
      <c r="Q1926" s="131"/>
      <c r="R1926" s="131"/>
      <c r="S1926" s="131"/>
      <c r="T1926" s="131"/>
      <c r="U1926" s="131"/>
      <c r="V1926" s="131"/>
      <c r="W1926" s="131"/>
      <c r="X1926" s="131"/>
      <c r="Y1926" s="131"/>
      <c r="Z1926" s="131"/>
      <c r="AA1926" s="131"/>
      <c r="AB1926" s="131"/>
      <c r="AC1926" s="131"/>
    </row>
    <row r="1927" spans="4:29" x14ac:dyDescent="0.2">
      <c r="D1927" s="131"/>
      <c r="E1927" s="131"/>
      <c r="F1927" s="131"/>
      <c r="G1927" s="131"/>
      <c r="H1927" s="340"/>
      <c r="L1927" s="131"/>
      <c r="M1927" s="131"/>
      <c r="N1927" s="131"/>
      <c r="O1927" s="131"/>
      <c r="P1927" s="131"/>
      <c r="Q1927" s="131"/>
      <c r="R1927" s="131"/>
      <c r="S1927" s="131"/>
      <c r="T1927" s="131"/>
      <c r="U1927" s="131"/>
      <c r="V1927" s="131"/>
      <c r="W1927" s="131"/>
      <c r="X1927" s="131"/>
      <c r="Y1927" s="131"/>
      <c r="Z1927" s="131"/>
      <c r="AA1927" s="131"/>
      <c r="AB1927" s="131"/>
      <c r="AC1927" s="131"/>
    </row>
    <row r="1928" spans="4:29" x14ac:dyDescent="0.2">
      <c r="D1928" s="131"/>
      <c r="E1928" s="131"/>
      <c r="F1928" s="131"/>
      <c r="G1928" s="131"/>
      <c r="H1928" s="340"/>
      <c r="L1928" s="131"/>
      <c r="M1928" s="131"/>
      <c r="N1928" s="131"/>
      <c r="O1928" s="131"/>
      <c r="P1928" s="131"/>
      <c r="Q1928" s="131"/>
      <c r="R1928" s="131"/>
      <c r="S1928" s="131"/>
      <c r="T1928" s="131"/>
      <c r="U1928" s="131"/>
      <c r="V1928" s="131"/>
      <c r="W1928" s="131"/>
      <c r="X1928" s="131"/>
      <c r="Y1928" s="131"/>
      <c r="Z1928" s="131"/>
      <c r="AA1928" s="131"/>
      <c r="AB1928" s="131"/>
      <c r="AC1928" s="131"/>
    </row>
    <row r="1929" spans="4:29" x14ac:dyDescent="0.2">
      <c r="D1929" s="131"/>
      <c r="E1929" s="131"/>
      <c r="F1929" s="131"/>
      <c r="G1929" s="131"/>
      <c r="H1929" s="340"/>
      <c r="L1929" s="131"/>
      <c r="M1929" s="131"/>
      <c r="N1929" s="131"/>
      <c r="O1929" s="131"/>
      <c r="P1929" s="131"/>
      <c r="Q1929" s="131"/>
      <c r="R1929" s="131"/>
      <c r="S1929" s="131"/>
      <c r="T1929" s="131"/>
      <c r="U1929" s="131"/>
      <c r="V1929" s="131"/>
      <c r="W1929" s="131"/>
      <c r="X1929" s="131"/>
      <c r="Y1929" s="131"/>
      <c r="Z1929" s="131"/>
      <c r="AA1929" s="131"/>
      <c r="AB1929" s="131"/>
      <c r="AC1929" s="131"/>
    </row>
    <row r="1930" spans="4:29" x14ac:dyDescent="0.2">
      <c r="D1930" s="131"/>
      <c r="E1930" s="131"/>
      <c r="F1930" s="131"/>
      <c r="G1930" s="131"/>
      <c r="H1930" s="340"/>
      <c r="L1930" s="131"/>
      <c r="M1930" s="131"/>
      <c r="N1930" s="131"/>
      <c r="O1930" s="131"/>
      <c r="P1930" s="131"/>
      <c r="Q1930" s="131"/>
      <c r="R1930" s="131"/>
      <c r="S1930" s="131"/>
      <c r="T1930" s="131"/>
      <c r="U1930" s="131"/>
      <c r="V1930" s="131"/>
      <c r="W1930" s="131"/>
      <c r="X1930" s="131"/>
      <c r="Y1930" s="131"/>
      <c r="Z1930" s="131"/>
      <c r="AA1930" s="131"/>
      <c r="AB1930" s="131"/>
      <c r="AC1930" s="131"/>
    </row>
    <row r="1931" spans="4:29" x14ac:dyDescent="0.2">
      <c r="D1931" s="131"/>
      <c r="E1931" s="131"/>
      <c r="F1931" s="131"/>
      <c r="G1931" s="131"/>
      <c r="H1931" s="340"/>
      <c r="L1931" s="131"/>
      <c r="M1931" s="131"/>
      <c r="N1931" s="131"/>
      <c r="O1931" s="131"/>
      <c r="P1931" s="131"/>
      <c r="Q1931" s="131"/>
      <c r="R1931" s="131"/>
      <c r="S1931" s="131"/>
      <c r="T1931" s="131"/>
      <c r="U1931" s="131"/>
      <c r="V1931" s="131"/>
      <c r="W1931" s="131"/>
      <c r="X1931" s="131"/>
      <c r="Y1931" s="131"/>
      <c r="Z1931" s="131"/>
      <c r="AA1931" s="131"/>
      <c r="AB1931" s="131"/>
      <c r="AC1931" s="131"/>
    </row>
    <row r="1932" spans="4:29" x14ac:dyDescent="0.2">
      <c r="D1932" s="131"/>
      <c r="E1932" s="131"/>
      <c r="F1932" s="131"/>
      <c r="G1932" s="131"/>
      <c r="H1932" s="340"/>
      <c r="L1932" s="131"/>
      <c r="M1932" s="131"/>
      <c r="N1932" s="131"/>
      <c r="O1932" s="131"/>
      <c r="P1932" s="131"/>
      <c r="Q1932" s="131"/>
      <c r="R1932" s="131"/>
      <c r="S1932" s="131"/>
      <c r="T1932" s="131"/>
      <c r="U1932" s="131"/>
      <c r="V1932" s="131"/>
      <c r="W1932" s="131"/>
      <c r="X1932" s="131"/>
      <c r="Y1932" s="131"/>
      <c r="Z1932" s="131"/>
      <c r="AA1932" s="131"/>
      <c r="AB1932" s="131"/>
      <c r="AC1932" s="131"/>
    </row>
    <row r="1933" spans="4:29" x14ac:dyDescent="0.2">
      <c r="D1933" s="131"/>
      <c r="E1933" s="131"/>
      <c r="F1933" s="131"/>
      <c r="G1933" s="131"/>
      <c r="H1933" s="340"/>
      <c r="L1933" s="131"/>
      <c r="M1933" s="131"/>
      <c r="N1933" s="131"/>
      <c r="O1933" s="131"/>
      <c r="P1933" s="131"/>
      <c r="Q1933" s="131"/>
      <c r="R1933" s="131"/>
      <c r="S1933" s="131"/>
      <c r="T1933" s="131"/>
      <c r="U1933" s="131"/>
      <c r="V1933" s="131"/>
      <c r="W1933" s="131"/>
      <c r="X1933" s="131"/>
      <c r="Y1933" s="131"/>
      <c r="Z1933" s="131"/>
      <c r="AA1933" s="131"/>
      <c r="AB1933" s="131"/>
      <c r="AC1933" s="131"/>
    </row>
    <row r="1934" spans="4:29" x14ac:dyDescent="0.2">
      <c r="D1934" s="131"/>
      <c r="E1934" s="131"/>
      <c r="F1934" s="131"/>
      <c r="G1934" s="131"/>
      <c r="H1934" s="340"/>
      <c r="L1934" s="131"/>
      <c r="M1934" s="131"/>
      <c r="N1934" s="131"/>
      <c r="O1934" s="131"/>
      <c r="P1934" s="131"/>
      <c r="Q1934" s="131"/>
      <c r="R1934" s="131"/>
      <c r="S1934" s="131"/>
      <c r="T1934" s="131"/>
      <c r="U1934" s="131"/>
      <c r="V1934" s="131"/>
      <c r="W1934" s="131"/>
      <c r="X1934" s="131"/>
      <c r="Y1934" s="131"/>
      <c r="Z1934" s="131"/>
      <c r="AA1934" s="131"/>
      <c r="AB1934" s="131"/>
      <c r="AC1934" s="131"/>
    </row>
    <row r="1935" spans="4:29" x14ac:dyDescent="0.2">
      <c r="D1935" s="131"/>
      <c r="E1935" s="131"/>
      <c r="F1935" s="131"/>
      <c r="G1935" s="131"/>
      <c r="H1935" s="340"/>
      <c r="L1935" s="131"/>
      <c r="M1935" s="131"/>
      <c r="N1935" s="131"/>
      <c r="O1935" s="131"/>
      <c r="P1935" s="131"/>
      <c r="Q1935" s="131"/>
      <c r="R1935" s="131"/>
      <c r="S1935" s="131"/>
      <c r="T1935" s="131"/>
      <c r="U1935" s="131"/>
      <c r="V1935" s="131"/>
      <c r="W1935" s="131"/>
      <c r="X1935" s="131"/>
      <c r="Y1935" s="131"/>
      <c r="Z1935" s="131"/>
      <c r="AA1935" s="131"/>
      <c r="AB1935" s="131"/>
      <c r="AC1935" s="131"/>
    </row>
    <row r="1936" spans="4:29" x14ac:dyDescent="0.2">
      <c r="D1936" s="131"/>
      <c r="E1936" s="131"/>
      <c r="F1936" s="131"/>
      <c r="G1936" s="131"/>
      <c r="H1936" s="340"/>
      <c r="L1936" s="131"/>
      <c r="M1936" s="131"/>
      <c r="N1936" s="131"/>
      <c r="O1936" s="131"/>
      <c r="P1936" s="131"/>
      <c r="Q1936" s="131"/>
      <c r="R1936" s="131"/>
      <c r="S1936" s="131"/>
      <c r="T1936" s="131"/>
      <c r="U1936" s="131"/>
      <c r="V1936" s="131"/>
      <c r="W1936" s="131"/>
      <c r="X1936" s="131"/>
      <c r="Y1936" s="131"/>
      <c r="Z1936" s="131"/>
      <c r="AA1936" s="131"/>
      <c r="AB1936" s="131"/>
      <c r="AC1936" s="131"/>
    </row>
    <row r="1937" spans="4:29" x14ac:dyDescent="0.2">
      <c r="D1937" s="131"/>
      <c r="E1937" s="131"/>
      <c r="F1937" s="131"/>
      <c r="G1937" s="131"/>
      <c r="H1937" s="340"/>
      <c r="L1937" s="131"/>
      <c r="M1937" s="131"/>
      <c r="N1937" s="131"/>
      <c r="O1937" s="131"/>
      <c r="P1937" s="131"/>
      <c r="Q1937" s="131"/>
      <c r="R1937" s="131"/>
      <c r="S1937" s="131"/>
      <c r="T1937" s="131"/>
      <c r="U1937" s="131"/>
      <c r="V1937" s="131"/>
      <c r="W1937" s="131"/>
      <c r="X1937" s="131"/>
      <c r="Y1937" s="131"/>
      <c r="Z1937" s="131"/>
      <c r="AA1937" s="131"/>
      <c r="AB1937" s="131"/>
      <c r="AC1937" s="131"/>
    </row>
    <row r="1938" spans="4:29" x14ac:dyDescent="0.2">
      <c r="D1938" s="131"/>
      <c r="E1938" s="131"/>
      <c r="F1938" s="131"/>
      <c r="G1938" s="131"/>
      <c r="H1938" s="340"/>
      <c r="L1938" s="131"/>
      <c r="M1938" s="131"/>
      <c r="N1938" s="131"/>
      <c r="O1938" s="131"/>
      <c r="P1938" s="131"/>
      <c r="Q1938" s="131"/>
      <c r="R1938" s="131"/>
      <c r="S1938" s="131"/>
      <c r="T1938" s="131"/>
      <c r="U1938" s="131"/>
      <c r="V1938" s="131"/>
      <c r="W1938" s="131"/>
      <c r="X1938" s="131"/>
      <c r="Y1938" s="131"/>
      <c r="Z1938" s="131"/>
      <c r="AA1938" s="131"/>
      <c r="AB1938" s="131"/>
      <c r="AC1938" s="131"/>
    </row>
    <row r="1939" spans="4:29" x14ac:dyDescent="0.2">
      <c r="D1939" s="131"/>
      <c r="E1939" s="131"/>
      <c r="F1939" s="131"/>
      <c r="G1939" s="131"/>
      <c r="H1939" s="340"/>
      <c r="L1939" s="131"/>
      <c r="M1939" s="131"/>
      <c r="N1939" s="131"/>
      <c r="O1939" s="131"/>
      <c r="P1939" s="131"/>
      <c r="Q1939" s="131"/>
      <c r="R1939" s="131"/>
      <c r="S1939" s="131"/>
      <c r="T1939" s="131"/>
      <c r="U1939" s="131"/>
      <c r="V1939" s="131"/>
      <c r="W1939" s="131"/>
      <c r="X1939" s="131"/>
      <c r="Y1939" s="131"/>
      <c r="Z1939" s="131"/>
      <c r="AA1939" s="131"/>
      <c r="AB1939" s="131"/>
      <c r="AC1939" s="131"/>
    </row>
    <row r="1940" spans="4:29" x14ac:dyDescent="0.2">
      <c r="D1940" s="131"/>
      <c r="E1940" s="131"/>
      <c r="F1940" s="131"/>
      <c r="G1940" s="131"/>
      <c r="H1940" s="340"/>
      <c r="L1940" s="131"/>
      <c r="M1940" s="131"/>
      <c r="N1940" s="131"/>
      <c r="O1940" s="131"/>
      <c r="P1940" s="131"/>
      <c r="Q1940" s="131"/>
      <c r="R1940" s="131"/>
      <c r="S1940" s="131"/>
      <c r="T1940" s="131"/>
      <c r="U1940" s="131"/>
      <c r="V1940" s="131"/>
      <c r="W1940" s="131"/>
      <c r="X1940" s="131"/>
      <c r="Y1940" s="131"/>
      <c r="Z1940" s="131"/>
      <c r="AA1940" s="131"/>
      <c r="AB1940" s="131"/>
      <c r="AC1940" s="131"/>
    </row>
    <row r="1941" spans="4:29" x14ac:dyDescent="0.2">
      <c r="D1941" s="131"/>
      <c r="E1941" s="131"/>
      <c r="F1941" s="131"/>
      <c r="G1941" s="131"/>
      <c r="H1941" s="340"/>
      <c r="L1941" s="131"/>
      <c r="M1941" s="131"/>
      <c r="N1941" s="131"/>
      <c r="O1941" s="131"/>
      <c r="P1941" s="131"/>
      <c r="Q1941" s="131"/>
      <c r="R1941" s="131"/>
      <c r="S1941" s="131"/>
      <c r="T1941" s="131"/>
      <c r="U1941" s="131"/>
      <c r="V1941" s="131"/>
      <c r="W1941" s="131"/>
      <c r="X1941" s="131"/>
      <c r="Y1941" s="131"/>
      <c r="Z1941" s="131"/>
      <c r="AA1941" s="131"/>
      <c r="AB1941" s="131"/>
      <c r="AC1941" s="131"/>
    </row>
    <row r="1942" spans="4:29" x14ac:dyDescent="0.2">
      <c r="D1942" s="131"/>
      <c r="E1942" s="131"/>
      <c r="F1942" s="131"/>
      <c r="G1942" s="131"/>
      <c r="H1942" s="340"/>
      <c r="L1942" s="131"/>
      <c r="M1942" s="131"/>
      <c r="N1942" s="131"/>
      <c r="O1942" s="131"/>
      <c r="P1942" s="131"/>
      <c r="Q1942" s="131"/>
      <c r="R1942" s="131"/>
      <c r="S1942" s="131"/>
      <c r="T1942" s="131"/>
      <c r="U1942" s="131"/>
      <c r="V1942" s="131"/>
      <c r="W1942" s="131"/>
      <c r="X1942" s="131"/>
      <c r="Y1942" s="131"/>
      <c r="Z1942" s="131"/>
      <c r="AA1942" s="131"/>
      <c r="AB1942" s="131"/>
      <c r="AC1942" s="131"/>
    </row>
    <row r="1943" spans="4:29" x14ac:dyDescent="0.2">
      <c r="D1943" s="131"/>
      <c r="E1943" s="131"/>
      <c r="F1943" s="131"/>
      <c r="G1943" s="131"/>
      <c r="H1943" s="340"/>
      <c r="L1943" s="131"/>
      <c r="M1943" s="131"/>
      <c r="N1943" s="131"/>
      <c r="O1943" s="131"/>
      <c r="P1943" s="131"/>
      <c r="Q1943" s="131"/>
      <c r="R1943" s="131"/>
      <c r="S1943" s="131"/>
      <c r="T1943" s="131"/>
      <c r="U1943" s="131"/>
      <c r="V1943" s="131"/>
      <c r="W1943" s="131"/>
      <c r="X1943" s="131"/>
      <c r="Y1943" s="131"/>
      <c r="Z1943" s="131"/>
      <c r="AA1943" s="131"/>
      <c r="AB1943" s="131"/>
      <c r="AC1943" s="131"/>
    </row>
    <row r="1944" spans="4:29" x14ac:dyDescent="0.2">
      <c r="D1944" s="131"/>
      <c r="E1944" s="131"/>
      <c r="F1944" s="131"/>
      <c r="G1944" s="131"/>
      <c r="H1944" s="340"/>
      <c r="L1944" s="131"/>
      <c r="M1944" s="131"/>
      <c r="N1944" s="131"/>
      <c r="O1944" s="131"/>
      <c r="P1944" s="131"/>
      <c r="Q1944" s="131"/>
      <c r="R1944" s="131"/>
      <c r="S1944" s="131"/>
      <c r="T1944" s="131"/>
      <c r="U1944" s="131"/>
      <c r="V1944" s="131"/>
      <c r="W1944" s="131"/>
      <c r="X1944" s="131"/>
      <c r="Y1944" s="131"/>
      <c r="Z1944" s="131"/>
      <c r="AA1944" s="131"/>
      <c r="AB1944" s="131"/>
      <c r="AC1944" s="131"/>
    </row>
    <row r="1945" spans="4:29" x14ac:dyDescent="0.2">
      <c r="D1945" s="131"/>
      <c r="E1945" s="131"/>
      <c r="F1945" s="131"/>
      <c r="G1945" s="131"/>
      <c r="H1945" s="340"/>
      <c r="L1945" s="131"/>
      <c r="M1945" s="131"/>
      <c r="N1945" s="131"/>
      <c r="O1945" s="131"/>
      <c r="P1945" s="131"/>
      <c r="Q1945" s="131"/>
      <c r="R1945" s="131"/>
      <c r="S1945" s="131"/>
      <c r="T1945" s="131"/>
      <c r="U1945" s="131"/>
      <c r="V1945" s="131"/>
      <c r="W1945" s="131"/>
      <c r="X1945" s="131"/>
      <c r="Y1945" s="131"/>
      <c r="Z1945" s="131"/>
      <c r="AA1945" s="131"/>
      <c r="AB1945" s="131"/>
      <c r="AC1945" s="131"/>
    </row>
    <row r="1946" spans="4:29" x14ac:dyDescent="0.2">
      <c r="D1946" s="131"/>
      <c r="E1946" s="131"/>
      <c r="F1946" s="131"/>
      <c r="G1946" s="131"/>
      <c r="H1946" s="340"/>
      <c r="L1946" s="131"/>
      <c r="M1946" s="131"/>
      <c r="N1946" s="131"/>
      <c r="O1946" s="131"/>
      <c r="P1946" s="131"/>
      <c r="Q1946" s="131"/>
      <c r="R1946" s="131"/>
      <c r="S1946" s="131"/>
      <c r="T1946" s="131"/>
      <c r="U1946" s="131"/>
      <c r="V1946" s="131"/>
      <c r="W1946" s="131"/>
      <c r="X1946" s="131"/>
      <c r="Y1946" s="131"/>
      <c r="Z1946" s="131"/>
      <c r="AA1946" s="131"/>
      <c r="AB1946" s="131"/>
      <c r="AC1946" s="131"/>
    </row>
    <row r="1947" spans="4:29" x14ac:dyDescent="0.2">
      <c r="D1947" s="131"/>
      <c r="E1947" s="131"/>
      <c r="F1947" s="131"/>
      <c r="G1947" s="131"/>
      <c r="H1947" s="340"/>
      <c r="L1947" s="131"/>
      <c r="M1947" s="131"/>
      <c r="N1947" s="131"/>
      <c r="O1947" s="131"/>
      <c r="P1947" s="131"/>
      <c r="Q1947" s="131"/>
      <c r="R1947" s="131"/>
      <c r="S1947" s="131"/>
      <c r="T1947" s="131"/>
      <c r="U1947" s="131"/>
      <c r="V1947" s="131"/>
      <c r="W1947" s="131"/>
      <c r="X1947" s="131"/>
      <c r="Y1947" s="131"/>
      <c r="Z1947" s="131"/>
      <c r="AA1947" s="131"/>
      <c r="AB1947" s="131"/>
      <c r="AC1947" s="131"/>
    </row>
    <row r="1948" spans="4:29" x14ac:dyDescent="0.2">
      <c r="D1948" s="131"/>
      <c r="E1948" s="131"/>
      <c r="F1948" s="131"/>
      <c r="G1948" s="131"/>
      <c r="H1948" s="340"/>
      <c r="L1948" s="131"/>
      <c r="M1948" s="131"/>
      <c r="N1948" s="131"/>
      <c r="O1948" s="131"/>
      <c r="P1948" s="131"/>
      <c r="Q1948" s="131"/>
      <c r="R1948" s="131"/>
      <c r="S1948" s="131"/>
      <c r="T1948" s="131"/>
      <c r="U1948" s="131"/>
      <c r="V1948" s="131"/>
      <c r="W1948" s="131"/>
      <c r="X1948" s="131"/>
      <c r="Y1948" s="131"/>
      <c r="Z1948" s="131"/>
      <c r="AA1948" s="131"/>
      <c r="AB1948" s="131"/>
      <c r="AC1948" s="131"/>
    </row>
    <row r="1949" spans="4:29" x14ac:dyDescent="0.2">
      <c r="D1949" s="131"/>
      <c r="E1949" s="131"/>
      <c r="F1949" s="131"/>
      <c r="G1949" s="131"/>
      <c r="H1949" s="340"/>
      <c r="L1949" s="131"/>
      <c r="M1949" s="131"/>
      <c r="N1949" s="131"/>
      <c r="O1949" s="131"/>
      <c r="P1949" s="131"/>
      <c r="Q1949" s="131"/>
      <c r="R1949" s="131"/>
      <c r="S1949" s="131"/>
      <c r="T1949" s="131"/>
      <c r="U1949" s="131"/>
      <c r="V1949" s="131"/>
      <c r="W1949" s="131"/>
      <c r="X1949" s="131"/>
      <c r="Y1949" s="131"/>
      <c r="Z1949" s="131"/>
      <c r="AA1949" s="131"/>
      <c r="AB1949" s="131"/>
      <c r="AC1949" s="131"/>
    </row>
    <row r="1950" spans="4:29" x14ac:dyDescent="0.2">
      <c r="D1950" s="131"/>
      <c r="E1950" s="131"/>
      <c r="F1950" s="131"/>
      <c r="G1950" s="131"/>
      <c r="H1950" s="340"/>
      <c r="L1950" s="131"/>
      <c r="M1950" s="131"/>
      <c r="N1950" s="131"/>
      <c r="O1950" s="131"/>
      <c r="P1950" s="131"/>
      <c r="Q1950" s="131"/>
      <c r="R1950" s="131"/>
      <c r="S1950" s="131"/>
      <c r="T1950" s="131"/>
      <c r="U1950" s="131"/>
      <c r="V1950" s="131"/>
      <c r="W1950" s="131"/>
      <c r="X1950" s="131"/>
      <c r="Y1950" s="131"/>
      <c r="Z1950" s="131"/>
      <c r="AA1950" s="131"/>
      <c r="AB1950" s="131"/>
      <c r="AC1950" s="131"/>
    </row>
    <row r="1951" spans="4:29" x14ac:dyDescent="0.2">
      <c r="D1951" s="131"/>
      <c r="E1951" s="131"/>
      <c r="F1951" s="131"/>
      <c r="G1951" s="131"/>
      <c r="H1951" s="340"/>
      <c r="L1951" s="131"/>
      <c r="M1951" s="131"/>
      <c r="N1951" s="131"/>
      <c r="O1951" s="131"/>
      <c r="P1951" s="131"/>
      <c r="Q1951" s="131"/>
      <c r="R1951" s="131"/>
      <c r="S1951" s="131"/>
      <c r="T1951" s="131"/>
      <c r="U1951" s="131"/>
      <c r="V1951" s="131"/>
      <c r="W1951" s="131"/>
      <c r="X1951" s="131"/>
      <c r="Y1951" s="131"/>
      <c r="Z1951" s="131"/>
      <c r="AA1951" s="131"/>
      <c r="AB1951" s="131"/>
      <c r="AC1951" s="131"/>
    </row>
    <row r="1952" spans="4:29" x14ac:dyDescent="0.2">
      <c r="D1952" s="131"/>
      <c r="E1952" s="131"/>
      <c r="F1952" s="131"/>
      <c r="G1952" s="131"/>
      <c r="H1952" s="340"/>
      <c r="L1952" s="131"/>
      <c r="M1952" s="131"/>
      <c r="N1952" s="131"/>
      <c r="O1952" s="131"/>
      <c r="P1952" s="131"/>
      <c r="Q1952" s="131"/>
      <c r="R1952" s="131"/>
      <c r="S1952" s="131"/>
      <c r="T1952" s="131"/>
      <c r="U1952" s="131"/>
      <c r="V1952" s="131"/>
      <c r="W1952" s="131"/>
      <c r="X1952" s="131"/>
      <c r="Y1952" s="131"/>
      <c r="Z1952" s="131"/>
      <c r="AA1952" s="131"/>
      <c r="AB1952" s="131"/>
      <c r="AC1952" s="131"/>
    </row>
    <row r="1953" spans="4:29" x14ac:dyDescent="0.2">
      <c r="D1953" s="131"/>
      <c r="E1953" s="131"/>
      <c r="F1953" s="131"/>
      <c r="G1953" s="131"/>
      <c r="H1953" s="340"/>
      <c r="L1953" s="131"/>
      <c r="M1953" s="131"/>
      <c r="N1953" s="131"/>
      <c r="O1953" s="131"/>
      <c r="P1953" s="131"/>
      <c r="Q1953" s="131"/>
      <c r="R1953" s="131"/>
      <c r="S1953" s="131"/>
      <c r="T1953" s="131"/>
      <c r="U1953" s="131"/>
      <c r="V1953" s="131"/>
      <c r="W1953" s="131"/>
      <c r="X1953" s="131"/>
      <c r="Y1953" s="131"/>
      <c r="Z1953" s="131"/>
      <c r="AA1953" s="131"/>
      <c r="AB1953" s="131"/>
      <c r="AC1953" s="131"/>
    </row>
    <row r="1954" spans="4:29" x14ac:dyDescent="0.2">
      <c r="D1954" s="131"/>
      <c r="E1954" s="131"/>
      <c r="F1954" s="131"/>
      <c r="G1954" s="131"/>
      <c r="H1954" s="340"/>
      <c r="L1954" s="131"/>
      <c r="M1954" s="131"/>
      <c r="N1954" s="131"/>
      <c r="O1954" s="131"/>
      <c r="P1954" s="131"/>
      <c r="Q1954" s="131"/>
      <c r="R1954" s="131"/>
      <c r="S1954" s="131"/>
      <c r="T1954" s="131"/>
      <c r="U1954" s="131"/>
      <c r="V1954" s="131"/>
      <c r="W1954" s="131"/>
      <c r="X1954" s="131"/>
      <c r="Y1954" s="131"/>
      <c r="Z1954" s="131"/>
      <c r="AA1954" s="131"/>
      <c r="AB1954" s="131"/>
      <c r="AC1954" s="131"/>
    </row>
    <row r="1955" spans="4:29" x14ac:dyDescent="0.2">
      <c r="D1955" s="131"/>
      <c r="E1955" s="131"/>
      <c r="F1955" s="131"/>
      <c r="G1955" s="131"/>
      <c r="H1955" s="340"/>
      <c r="L1955" s="131"/>
      <c r="M1955" s="131"/>
      <c r="N1955" s="131"/>
      <c r="O1955" s="131"/>
      <c r="P1955" s="131"/>
      <c r="Q1955" s="131"/>
      <c r="R1955" s="131"/>
      <c r="S1955" s="131"/>
      <c r="T1955" s="131"/>
      <c r="U1955" s="131"/>
      <c r="V1955" s="131"/>
      <c r="W1955" s="131"/>
      <c r="X1955" s="131"/>
      <c r="Y1955" s="131"/>
      <c r="Z1955" s="131"/>
      <c r="AA1955" s="131"/>
      <c r="AB1955" s="131"/>
      <c r="AC1955" s="131"/>
    </row>
    <row r="1956" spans="4:29" x14ac:dyDescent="0.2">
      <c r="D1956" s="131"/>
      <c r="E1956" s="131"/>
      <c r="F1956" s="131"/>
      <c r="G1956" s="131"/>
      <c r="H1956" s="340"/>
      <c r="L1956" s="131"/>
      <c r="M1956" s="131"/>
      <c r="N1956" s="131"/>
      <c r="O1956" s="131"/>
      <c r="P1956" s="131"/>
      <c r="Q1956" s="131"/>
      <c r="R1956" s="131"/>
      <c r="S1956" s="131"/>
      <c r="T1956" s="131"/>
      <c r="U1956" s="131"/>
      <c r="V1956" s="131"/>
      <c r="W1956" s="131"/>
      <c r="X1956" s="131"/>
      <c r="Y1956" s="131"/>
      <c r="Z1956" s="131"/>
      <c r="AA1956" s="131"/>
      <c r="AB1956" s="131"/>
      <c r="AC1956" s="131"/>
    </row>
    <row r="1957" spans="4:29" x14ac:dyDescent="0.2">
      <c r="D1957" s="131"/>
      <c r="E1957" s="131"/>
      <c r="F1957" s="131"/>
      <c r="G1957" s="131"/>
      <c r="H1957" s="340"/>
      <c r="L1957" s="131"/>
      <c r="M1957" s="131"/>
      <c r="N1957" s="131"/>
      <c r="O1957" s="131"/>
      <c r="P1957" s="131"/>
      <c r="Q1957" s="131"/>
      <c r="R1957" s="131"/>
      <c r="S1957" s="131"/>
      <c r="T1957" s="131"/>
      <c r="U1957" s="131"/>
      <c r="V1957" s="131"/>
      <c r="W1957" s="131"/>
      <c r="X1957" s="131"/>
      <c r="Y1957" s="131"/>
      <c r="Z1957" s="131"/>
      <c r="AA1957" s="131"/>
      <c r="AB1957" s="131"/>
      <c r="AC1957" s="131"/>
    </row>
    <row r="1958" spans="4:29" x14ac:dyDescent="0.2">
      <c r="D1958" s="131"/>
      <c r="E1958" s="131"/>
      <c r="F1958" s="131"/>
      <c r="G1958" s="131"/>
      <c r="H1958" s="340"/>
      <c r="L1958" s="131"/>
      <c r="M1958" s="131"/>
      <c r="N1958" s="131"/>
      <c r="O1958" s="131"/>
      <c r="P1958" s="131"/>
      <c r="Q1958" s="131"/>
      <c r="R1958" s="131"/>
      <c r="S1958" s="131"/>
      <c r="T1958" s="131"/>
      <c r="U1958" s="131"/>
      <c r="V1958" s="131"/>
      <c r="W1958" s="131"/>
      <c r="X1958" s="131"/>
      <c r="Y1958" s="131"/>
      <c r="Z1958" s="131"/>
      <c r="AA1958" s="131"/>
      <c r="AB1958" s="131"/>
      <c r="AC1958" s="131"/>
    </row>
    <row r="1959" spans="4:29" x14ac:dyDescent="0.2">
      <c r="D1959" s="131"/>
      <c r="E1959" s="131"/>
      <c r="F1959" s="131"/>
      <c r="G1959" s="131"/>
      <c r="H1959" s="340"/>
      <c r="L1959" s="131"/>
      <c r="M1959" s="131"/>
      <c r="N1959" s="131"/>
      <c r="O1959" s="131"/>
      <c r="P1959" s="131"/>
      <c r="Q1959" s="131"/>
      <c r="R1959" s="131"/>
      <c r="S1959" s="131"/>
      <c r="T1959" s="131"/>
      <c r="U1959" s="131"/>
      <c r="V1959" s="131"/>
      <c r="W1959" s="131"/>
      <c r="X1959" s="131"/>
      <c r="Y1959" s="131"/>
      <c r="Z1959" s="131"/>
      <c r="AA1959" s="131"/>
      <c r="AB1959" s="131"/>
      <c r="AC1959" s="131"/>
    </row>
    <row r="1960" spans="4:29" x14ac:dyDescent="0.2">
      <c r="D1960" s="131"/>
      <c r="E1960" s="131"/>
      <c r="F1960" s="131"/>
      <c r="G1960" s="131"/>
      <c r="H1960" s="340"/>
      <c r="L1960" s="131"/>
      <c r="M1960" s="131"/>
      <c r="N1960" s="131"/>
      <c r="O1960" s="131"/>
      <c r="P1960" s="131"/>
      <c r="Q1960" s="131"/>
      <c r="R1960" s="131"/>
      <c r="S1960" s="131"/>
      <c r="T1960" s="131"/>
      <c r="U1960" s="131"/>
      <c r="V1960" s="131"/>
      <c r="W1960" s="131"/>
      <c r="X1960" s="131"/>
      <c r="Y1960" s="131"/>
      <c r="Z1960" s="131"/>
      <c r="AA1960" s="131"/>
      <c r="AB1960" s="131"/>
      <c r="AC1960" s="131"/>
    </row>
    <row r="1961" spans="4:29" x14ac:dyDescent="0.2">
      <c r="D1961" s="131"/>
      <c r="E1961" s="131"/>
      <c r="F1961" s="131"/>
      <c r="G1961" s="131"/>
      <c r="H1961" s="340"/>
      <c r="L1961" s="131"/>
      <c r="M1961" s="131"/>
      <c r="N1961" s="131"/>
      <c r="O1961" s="131"/>
      <c r="P1961" s="131"/>
      <c r="Q1961" s="131"/>
      <c r="R1961" s="131"/>
      <c r="S1961" s="131"/>
      <c r="T1961" s="131"/>
      <c r="U1961" s="131"/>
      <c r="V1961" s="131"/>
      <c r="W1961" s="131"/>
      <c r="X1961" s="131"/>
      <c r="Y1961" s="131"/>
      <c r="Z1961" s="131"/>
      <c r="AA1961" s="131"/>
      <c r="AB1961" s="131"/>
      <c r="AC1961" s="131"/>
    </row>
    <row r="1962" spans="4:29" x14ac:dyDescent="0.2">
      <c r="D1962" s="131"/>
      <c r="E1962" s="131"/>
      <c r="F1962" s="131"/>
      <c r="G1962" s="131"/>
      <c r="H1962" s="340"/>
      <c r="L1962" s="131"/>
      <c r="M1962" s="131"/>
      <c r="N1962" s="131"/>
      <c r="O1962" s="131"/>
      <c r="P1962" s="131"/>
      <c r="Q1962" s="131"/>
      <c r="R1962" s="131"/>
      <c r="S1962" s="131"/>
      <c r="T1962" s="131"/>
      <c r="U1962" s="131"/>
      <c r="V1962" s="131"/>
      <c r="W1962" s="131"/>
      <c r="X1962" s="131"/>
      <c r="Y1962" s="131"/>
      <c r="Z1962" s="131"/>
      <c r="AA1962" s="131"/>
      <c r="AB1962" s="131"/>
      <c r="AC1962" s="131"/>
    </row>
    <row r="1963" spans="4:29" x14ac:dyDescent="0.2">
      <c r="D1963" s="131"/>
      <c r="E1963" s="131"/>
      <c r="F1963" s="131"/>
      <c r="G1963" s="131"/>
      <c r="H1963" s="340"/>
      <c r="L1963" s="131"/>
      <c r="M1963" s="131"/>
      <c r="N1963" s="131"/>
      <c r="O1963" s="131"/>
      <c r="P1963" s="131"/>
      <c r="Q1963" s="131"/>
      <c r="R1963" s="131"/>
      <c r="S1963" s="131"/>
      <c r="T1963" s="131"/>
      <c r="U1963" s="131"/>
      <c r="V1963" s="131"/>
      <c r="W1963" s="131"/>
      <c r="X1963" s="131"/>
      <c r="Y1963" s="131"/>
      <c r="Z1963" s="131"/>
      <c r="AA1963" s="131"/>
      <c r="AB1963" s="131"/>
      <c r="AC1963" s="131"/>
    </row>
    <row r="1964" spans="4:29" x14ac:dyDescent="0.2">
      <c r="D1964" s="131"/>
      <c r="E1964" s="131"/>
      <c r="F1964" s="131"/>
      <c r="G1964" s="131"/>
      <c r="H1964" s="340"/>
      <c r="L1964" s="131"/>
      <c r="M1964" s="131"/>
      <c r="N1964" s="131"/>
      <c r="O1964" s="131"/>
      <c r="P1964" s="131"/>
      <c r="Q1964" s="131"/>
      <c r="R1964" s="131"/>
      <c r="S1964" s="131"/>
      <c r="T1964" s="131"/>
      <c r="U1964" s="131"/>
      <c r="V1964" s="131"/>
      <c r="W1964" s="131"/>
      <c r="X1964" s="131"/>
      <c r="Y1964" s="131"/>
      <c r="Z1964" s="131"/>
      <c r="AA1964" s="131"/>
      <c r="AB1964" s="131"/>
      <c r="AC1964" s="131"/>
    </row>
    <row r="1965" spans="4:29" x14ac:dyDescent="0.2">
      <c r="D1965" s="131"/>
      <c r="E1965" s="131"/>
      <c r="F1965" s="131"/>
      <c r="G1965" s="131"/>
      <c r="H1965" s="340"/>
      <c r="L1965" s="131"/>
      <c r="M1965" s="131"/>
      <c r="N1965" s="131"/>
      <c r="O1965" s="131"/>
      <c r="P1965" s="131"/>
      <c r="Q1965" s="131"/>
      <c r="R1965" s="131"/>
      <c r="S1965" s="131"/>
      <c r="T1965" s="131"/>
      <c r="U1965" s="131"/>
      <c r="V1965" s="131"/>
      <c r="W1965" s="131"/>
      <c r="X1965" s="131"/>
      <c r="Y1965" s="131"/>
      <c r="Z1965" s="131"/>
      <c r="AA1965" s="131"/>
      <c r="AB1965" s="131"/>
      <c r="AC1965" s="131"/>
    </row>
    <row r="1966" spans="4:29" x14ac:dyDescent="0.2">
      <c r="D1966" s="131"/>
      <c r="E1966" s="131"/>
      <c r="F1966" s="131"/>
      <c r="G1966" s="131"/>
      <c r="H1966" s="340"/>
      <c r="L1966" s="131"/>
      <c r="M1966" s="131"/>
      <c r="N1966" s="131"/>
      <c r="O1966" s="131"/>
      <c r="P1966" s="131"/>
      <c r="Q1966" s="131"/>
      <c r="R1966" s="131"/>
      <c r="S1966" s="131"/>
      <c r="T1966" s="131"/>
      <c r="U1966" s="131"/>
      <c r="V1966" s="131"/>
      <c r="W1966" s="131"/>
      <c r="X1966" s="131"/>
      <c r="Y1966" s="131"/>
      <c r="Z1966" s="131"/>
      <c r="AA1966" s="131"/>
      <c r="AB1966" s="131"/>
      <c r="AC1966" s="131"/>
    </row>
    <row r="1967" spans="4:29" x14ac:dyDescent="0.2">
      <c r="D1967" s="131"/>
      <c r="E1967" s="131"/>
      <c r="F1967" s="131"/>
      <c r="G1967" s="131"/>
      <c r="H1967" s="340"/>
      <c r="L1967" s="131"/>
      <c r="M1967" s="131"/>
      <c r="N1967" s="131"/>
      <c r="O1967" s="131"/>
      <c r="P1967" s="131"/>
      <c r="Q1967" s="131"/>
      <c r="R1967" s="131"/>
      <c r="S1967" s="131"/>
      <c r="T1967" s="131"/>
      <c r="U1967" s="131"/>
      <c r="V1967" s="131"/>
      <c r="W1967" s="131"/>
      <c r="X1967" s="131"/>
      <c r="Y1967" s="131"/>
      <c r="Z1967" s="131"/>
      <c r="AA1967" s="131"/>
      <c r="AB1967" s="131"/>
      <c r="AC1967" s="131"/>
    </row>
    <row r="1968" spans="4:29" x14ac:dyDescent="0.2">
      <c r="D1968" s="131"/>
      <c r="E1968" s="131"/>
      <c r="F1968" s="131"/>
      <c r="G1968" s="131"/>
      <c r="H1968" s="340"/>
      <c r="L1968" s="131"/>
      <c r="M1968" s="131"/>
      <c r="N1968" s="131"/>
      <c r="O1968" s="131"/>
      <c r="P1968" s="131"/>
      <c r="Q1968" s="131"/>
      <c r="R1968" s="131"/>
      <c r="S1968" s="131"/>
      <c r="T1968" s="131"/>
      <c r="U1968" s="131"/>
      <c r="V1968" s="131"/>
      <c r="W1968" s="131"/>
      <c r="X1968" s="131"/>
      <c r="Y1968" s="131"/>
      <c r="Z1968" s="131"/>
      <c r="AA1968" s="131"/>
      <c r="AB1968" s="131"/>
      <c r="AC1968" s="131"/>
    </row>
    <row r="1969" spans="4:29" x14ac:dyDescent="0.2">
      <c r="D1969" s="131"/>
      <c r="E1969" s="131"/>
      <c r="F1969" s="131"/>
      <c r="G1969" s="131"/>
      <c r="H1969" s="340"/>
      <c r="L1969" s="131"/>
      <c r="M1969" s="131"/>
      <c r="N1969" s="131"/>
      <c r="O1969" s="131"/>
      <c r="P1969" s="131"/>
      <c r="Q1969" s="131"/>
      <c r="R1969" s="131"/>
      <c r="S1969" s="131"/>
      <c r="T1969" s="131"/>
      <c r="U1969" s="131"/>
      <c r="V1969" s="131"/>
      <c r="W1969" s="131"/>
      <c r="X1969" s="131"/>
      <c r="Y1969" s="131"/>
      <c r="Z1969" s="131"/>
      <c r="AA1969" s="131"/>
      <c r="AB1969" s="131"/>
      <c r="AC1969" s="131"/>
    </row>
    <row r="1970" spans="4:29" x14ac:dyDescent="0.2">
      <c r="D1970" s="131"/>
      <c r="E1970" s="131"/>
      <c r="F1970" s="131"/>
      <c r="G1970" s="131"/>
      <c r="H1970" s="340"/>
      <c r="L1970" s="131"/>
      <c r="M1970" s="131"/>
      <c r="N1970" s="131"/>
      <c r="O1970" s="131"/>
      <c r="P1970" s="131"/>
      <c r="Q1970" s="131"/>
      <c r="R1970" s="131"/>
      <c r="S1970" s="131"/>
      <c r="T1970" s="131"/>
      <c r="U1970" s="131"/>
      <c r="V1970" s="131"/>
      <c r="W1970" s="131"/>
      <c r="X1970" s="131"/>
      <c r="Y1970" s="131"/>
      <c r="Z1970" s="131"/>
      <c r="AA1970" s="131"/>
      <c r="AB1970" s="131"/>
      <c r="AC1970" s="131"/>
    </row>
    <row r="1971" spans="4:29" x14ac:dyDescent="0.2">
      <c r="D1971" s="131"/>
      <c r="E1971" s="131"/>
      <c r="F1971" s="131"/>
      <c r="G1971" s="131"/>
      <c r="H1971" s="340"/>
      <c r="L1971" s="131"/>
      <c r="M1971" s="131"/>
      <c r="N1971" s="131"/>
      <c r="O1971" s="131"/>
      <c r="P1971" s="131"/>
      <c r="Q1971" s="131"/>
      <c r="R1971" s="131"/>
      <c r="S1971" s="131"/>
      <c r="T1971" s="131"/>
      <c r="U1971" s="131"/>
      <c r="V1971" s="131"/>
      <c r="W1971" s="131"/>
      <c r="X1971" s="131"/>
      <c r="Y1971" s="131"/>
      <c r="Z1971" s="131"/>
      <c r="AA1971" s="131"/>
      <c r="AB1971" s="131"/>
      <c r="AC1971" s="131"/>
    </row>
    <row r="1972" spans="4:29" x14ac:dyDescent="0.2">
      <c r="D1972" s="131"/>
      <c r="E1972" s="131"/>
      <c r="F1972" s="131"/>
      <c r="G1972" s="131"/>
      <c r="H1972" s="340"/>
      <c r="L1972" s="131"/>
      <c r="M1972" s="131"/>
      <c r="N1972" s="131"/>
      <c r="O1972" s="131"/>
      <c r="P1972" s="131"/>
      <c r="Q1972" s="131"/>
      <c r="R1972" s="131"/>
      <c r="S1972" s="131"/>
      <c r="T1972" s="131"/>
      <c r="U1972" s="131"/>
      <c r="V1972" s="131"/>
      <c r="W1972" s="131"/>
      <c r="X1972" s="131"/>
      <c r="Y1972" s="131"/>
      <c r="Z1972" s="131"/>
      <c r="AA1972" s="131"/>
      <c r="AB1972" s="131"/>
      <c r="AC1972" s="131"/>
    </row>
    <row r="1973" spans="4:29" x14ac:dyDescent="0.2">
      <c r="D1973" s="131"/>
      <c r="E1973" s="131"/>
      <c r="F1973" s="131"/>
      <c r="G1973" s="131"/>
      <c r="H1973" s="340"/>
      <c r="L1973" s="131"/>
      <c r="M1973" s="131"/>
      <c r="N1973" s="131"/>
      <c r="O1973" s="131"/>
      <c r="P1973" s="131"/>
      <c r="Q1973" s="131"/>
      <c r="R1973" s="131"/>
      <c r="S1973" s="131"/>
      <c r="T1973" s="131"/>
      <c r="U1973" s="131"/>
      <c r="V1973" s="131"/>
      <c r="W1973" s="131"/>
      <c r="X1973" s="131"/>
      <c r="Y1973" s="131"/>
      <c r="Z1973" s="131"/>
      <c r="AA1973" s="131"/>
      <c r="AB1973" s="131"/>
      <c r="AC1973" s="131"/>
    </row>
    <row r="1974" spans="4:29" x14ac:dyDescent="0.2">
      <c r="D1974" s="131"/>
      <c r="E1974" s="131"/>
      <c r="F1974" s="131"/>
      <c r="G1974" s="131"/>
      <c r="H1974" s="340"/>
      <c r="L1974" s="131"/>
      <c r="M1974" s="131"/>
      <c r="N1974" s="131"/>
      <c r="O1974" s="131"/>
      <c r="P1974" s="131"/>
      <c r="Q1974" s="131"/>
      <c r="R1974" s="131"/>
      <c r="S1974" s="131"/>
      <c r="T1974" s="131"/>
      <c r="U1974" s="131"/>
      <c r="V1974" s="131"/>
      <c r="W1974" s="131"/>
      <c r="X1974" s="131"/>
      <c r="Y1974" s="131"/>
      <c r="Z1974" s="131"/>
      <c r="AA1974" s="131"/>
      <c r="AB1974" s="131"/>
      <c r="AC1974" s="131"/>
    </row>
    <row r="1975" spans="4:29" x14ac:dyDescent="0.2">
      <c r="D1975" s="131"/>
      <c r="E1975" s="131"/>
      <c r="F1975" s="131"/>
      <c r="G1975" s="131"/>
      <c r="H1975" s="340"/>
      <c r="L1975" s="131"/>
      <c r="M1975" s="131"/>
      <c r="N1975" s="131"/>
      <c r="O1975" s="131"/>
      <c r="P1975" s="131"/>
      <c r="Q1975" s="131"/>
      <c r="R1975" s="131"/>
      <c r="S1975" s="131"/>
      <c r="T1975" s="131"/>
      <c r="U1975" s="131"/>
      <c r="V1975" s="131"/>
      <c r="W1975" s="131"/>
      <c r="X1975" s="131"/>
      <c r="Y1975" s="131"/>
      <c r="Z1975" s="131"/>
      <c r="AA1975" s="131"/>
      <c r="AB1975" s="131"/>
      <c r="AC1975" s="131"/>
    </row>
    <row r="1976" spans="4:29" x14ac:dyDescent="0.2">
      <c r="D1976" s="131"/>
      <c r="E1976" s="131"/>
      <c r="F1976" s="131"/>
      <c r="G1976" s="131"/>
      <c r="H1976" s="340"/>
      <c r="L1976" s="131"/>
      <c r="M1976" s="131"/>
      <c r="N1976" s="131"/>
      <c r="O1976" s="131"/>
      <c r="P1976" s="131"/>
      <c r="Q1976" s="131"/>
      <c r="R1976" s="131"/>
      <c r="S1976" s="131"/>
      <c r="T1976" s="131"/>
      <c r="U1976" s="131"/>
      <c r="V1976" s="131"/>
      <c r="W1976" s="131"/>
      <c r="X1976" s="131"/>
      <c r="Y1976" s="131"/>
      <c r="Z1976" s="131"/>
      <c r="AA1976" s="131"/>
      <c r="AB1976" s="131"/>
      <c r="AC1976" s="131"/>
    </row>
    <row r="1977" spans="4:29" x14ac:dyDescent="0.2">
      <c r="D1977" s="131"/>
      <c r="E1977" s="131"/>
      <c r="F1977" s="131"/>
      <c r="G1977" s="131"/>
      <c r="H1977" s="340"/>
      <c r="L1977" s="131"/>
      <c r="M1977" s="131"/>
      <c r="N1977" s="131"/>
      <c r="O1977" s="131"/>
      <c r="P1977" s="131"/>
      <c r="Q1977" s="131"/>
      <c r="R1977" s="131"/>
      <c r="S1977" s="131"/>
      <c r="T1977" s="131"/>
      <c r="U1977" s="131"/>
      <c r="V1977" s="131"/>
      <c r="W1977" s="131"/>
      <c r="X1977" s="131"/>
      <c r="Y1977" s="131"/>
      <c r="Z1977" s="131"/>
      <c r="AA1977" s="131"/>
      <c r="AB1977" s="131"/>
      <c r="AC1977" s="131"/>
    </row>
    <row r="1978" spans="4:29" x14ac:dyDescent="0.2">
      <c r="D1978" s="131"/>
      <c r="E1978" s="131"/>
      <c r="F1978" s="131"/>
      <c r="G1978" s="131"/>
      <c r="H1978" s="340"/>
      <c r="L1978" s="131"/>
      <c r="M1978" s="131"/>
      <c r="N1978" s="131"/>
      <c r="O1978" s="131"/>
      <c r="P1978" s="131"/>
      <c r="Q1978" s="131"/>
      <c r="R1978" s="131"/>
      <c r="S1978" s="131"/>
      <c r="T1978" s="131"/>
      <c r="U1978" s="131"/>
      <c r="V1978" s="131"/>
      <c r="W1978" s="131"/>
      <c r="X1978" s="131"/>
      <c r="Y1978" s="131"/>
      <c r="Z1978" s="131"/>
      <c r="AA1978" s="131"/>
      <c r="AB1978" s="131"/>
      <c r="AC1978" s="131"/>
    </row>
    <row r="1979" spans="4:29" x14ac:dyDescent="0.2">
      <c r="D1979" s="131"/>
      <c r="E1979" s="131"/>
      <c r="F1979" s="131"/>
      <c r="G1979" s="131"/>
      <c r="H1979" s="340"/>
      <c r="L1979" s="131"/>
      <c r="M1979" s="131"/>
      <c r="N1979" s="131"/>
      <c r="O1979" s="131"/>
      <c r="P1979" s="131"/>
      <c r="Q1979" s="131"/>
      <c r="R1979" s="131"/>
      <c r="S1979" s="131"/>
      <c r="T1979" s="131"/>
      <c r="U1979" s="131"/>
      <c r="V1979" s="131"/>
      <c r="W1979" s="131"/>
      <c r="X1979" s="131"/>
      <c r="Y1979" s="131"/>
      <c r="Z1979" s="131"/>
      <c r="AA1979" s="131"/>
      <c r="AB1979" s="131"/>
      <c r="AC1979" s="131"/>
    </row>
    <row r="1980" spans="4:29" x14ac:dyDescent="0.2">
      <c r="D1980" s="131"/>
      <c r="E1980" s="131"/>
      <c r="F1980" s="131"/>
      <c r="G1980" s="131"/>
      <c r="H1980" s="340"/>
      <c r="L1980" s="131"/>
      <c r="M1980" s="131"/>
      <c r="N1980" s="131"/>
      <c r="O1980" s="131"/>
      <c r="P1980" s="131"/>
      <c r="Q1980" s="131"/>
      <c r="R1980" s="131"/>
      <c r="S1980" s="131"/>
      <c r="T1980" s="131"/>
      <c r="U1980" s="131"/>
      <c r="V1980" s="131"/>
      <c r="W1980" s="131"/>
      <c r="X1980" s="131"/>
      <c r="Y1980" s="131"/>
      <c r="Z1980" s="131"/>
      <c r="AA1980" s="131"/>
      <c r="AB1980" s="131"/>
      <c r="AC1980" s="131"/>
    </row>
    <row r="1981" spans="4:29" x14ac:dyDescent="0.2">
      <c r="D1981" s="131"/>
      <c r="E1981" s="131"/>
      <c r="F1981" s="131"/>
      <c r="G1981" s="131"/>
      <c r="H1981" s="340"/>
      <c r="L1981" s="131"/>
      <c r="M1981" s="131"/>
      <c r="N1981" s="131"/>
      <c r="O1981" s="131"/>
      <c r="P1981" s="131"/>
      <c r="Q1981" s="131"/>
      <c r="R1981" s="131"/>
      <c r="S1981" s="131"/>
      <c r="T1981" s="131"/>
      <c r="U1981" s="131"/>
      <c r="V1981" s="131"/>
      <c r="W1981" s="131"/>
      <c r="X1981" s="131"/>
      <c r="Y1981" s="131"/>
      <c r="Z1981" s="131"/>
      <c r="AA1981" s="131"/>
      <c r="AB1981" s="131"/>
      <c r="AC1981" s="131"/>
    </row>
    <row r="1982" spans="4:29" x14ac:dyDescent="0.2">
      <c r="D1982" s="131"/>
      <c r="E1982" s="131"/>
      <c r="F1982" s="131"/>
      <c r="G1982" s="131"/>
      <c r="H1982" s="340"/>
      <c r="L1982" s="131"/>
      <c r="M1982" s="131"/>
      <c r="N1982" s="131"/>
      <c r="O1982" s="131"/>
      <c r="P1982" s="131"/>
      <c r="Q1982" s="131"/>
      <c r="R1982" s="131"/>
      <c r="S1982" s="131"/>
      <c r="T1982" s="131"/>
      <c r="U1982" s="131"/>
      <c r="V1982" s="131"/>
      <c r="W1982" s="131"/>
      <c r="X1982" s="131"/>
      <c r="Y1982" s="131"/>
      <c r="Z1982" s="131"/>
      <c r="AA1982" s="131"/>
      <c r="AB1982" s="131"/>
      <c r="AC1982" s="131"/>
    </row>
    <row r="1983" spans="4:29" x14ac:dyDescent="0.2">
      <c r="D1983" s="131"/>
      <c r="E1983" s="131"/>
      <c r="F1983" s="131"/>
      <c r="G1983" s="131"/>
      <c r="H1983" s="340"/>
      <c r="L1983" s="131"/>
      <c r="M1983" s="131"/>
      <c r="N1983" s="131"/>
      <c r="O1983" s="131"/>
      <c r="P1983" s="131"/>
      <c r="Q1983" s="131"/>
      <c r="R1983" s="131"/>
      <c r="S1983" s="131"/>
      <c r="T1983" s="131"/>
      <c r="U1983" s="131"/>
      <c r="V1983" s="131"/>
      <c r="W1983" s="131"/>
      <c r="X1983" s="131"/>
      <c r="Y1983" s="131"/>
      <c r="Z1983" s="131"/>
      <c r="AA1983" s="131"/>
      <c r="AB1983" s="131"/>
      <c r="AC1983" s="131"/>
    </row>
    <row r="1984" spans="4:29" x14ac:dyDescent="0.2">
      <c r="D1984" s="131"/>
      <c r="E1984" s="131"/>
      <c r="F1984" s="131"/>
      <c r="G1984" s="131"/>
      <c r="H1984" s="340"/>
      <c r="L1984" s="131"/>
      <c r="M1984" s="131"/>
      <c r="N1984" s="131"/>
      <c r="O1984" s="131"/>
      <c r="P1984" s="131"/>
      <c r="Q1984" s="131"/>
      <c r="R1984" s="131"/>
      <c r="S1984" s="131"/>
      <c r="T1984" s="131"/>
      <c r="U1984" s="131"/>
      <c r="V1984" s="131"/>
      <c r="W1984" s="131"/>
      <c r="X1984" s="131"/>
      <c r="Y1984" s="131"/>
      <c r="Z1984" s="131"/>
      <c r="AA1984" s="131"/>
      <c r="AB1984" s="131"/>
      <c r="AC1984" s="131"/>
    </row>
    <row r="1985" spans="4:29" x14ac:dyDescent="0.2">
      <c r="D1985" s="131"/>
      <c r="E1985" s="131"/>
      <c r="F1985" s="131"/>
      <c r="G1985" s="131"/>
      <c r="H1985" s="340"/>
      <c r="L1985" s="131"/>
      <c r="M1985" s="131"/>
      <c r="N1985" s="131"/>
      <c r="O1985" s="131"/>
      <c r="P1985" s="131"/>
      <c r="Q1985" s="131"/>
      <c r="R1985" s="131"/>
      <c r="S1985" s="131"/>
      <c r="T1985" s="131"/>
      <c r="U1985" s="131"/>
      <c r="V1985" s="131"/>
      <c r="W1985" s="131"/>
      <c r="X1985" s="131"/>
      <c r="Y1985" s="131"/>
      <c r="Z1985" s="131"/>
      <c r="AA1985" s="131"/>
      <c r="AB1985" s="131"/>
      <c r="AC1985" s="131"/>
    </row>
    <row r="1986" spans="4:29" x14ac:dyDescent="0.2">
      <c r="D1986" s="131"/>
      <c r="E1986" s="131"/>
      <c r="F1986" s="131"/>
      <c r="G1986" s="131"/>
      <c r="H1986" s="340"/>
      <c r="L1986" s="131"/>
      <c r="M1986" s="131"/>
      <c r="N1986" s="131"/>
      <c r="O1986" s="131"/>
      <c r="P1986" s="131"/>
      <c r="Q1986" s="131"/>
      <c r="R1986" s="131"/>
      <c r="S1986" s="131"/>
      <c r="T1986" s="131"/>
      <c r="U1986" s="131"/>
      <c r="V1986" s="131"/>
      <c r="W1986" s="131"/>
      <c r="X1986" s="131"/>
      <c r="Y1986" s="131"/>
      <c r="Z1986" s="131"/>
      <c r="AA1986" s="131"/>
      <c r="AB1986" s="131"/>
      <c r="AC1986" s="131"/>
    </row>
    <row r="1987" spans="4:29" x14ac:dyDescent="0.2">
      <c r="D1987" s="131"/>
      <c r="E1987" s="131"/>
      <c r="F1987" s="131"/>
      <c r="G1987" s="131"/>
      <c r="H1987" s="340"/>
      <c r="L1987" s="131"/>
      <c r="M1987" s="131"/>
      <c r="N1987" s="131"/>
      <c r="O1987" s="131"/>
      <c r="P1987" s="131"/>
      <c r="Q1987" s="131"/>
      <c r="R1987" s="131"/>
      <c r="S1987" s="131"/>
      <c r="T1987" s="131"/>
      <c r="U1987" s="131"/>
      <c r="V1987" s="131"/>
      <c r="W1987" s="131"/>
      <c r="X1987" s="131"/>
      <c r="Y1987" s="131"/>
      <c r="Z1987" s="131"/>
      <c r="AA1987" s="131"/>
      <c r="AB1987" s="131"/>
      <c r="AC1987" s="131"/>
    </row>
    <row r="1988" spans="4:29" x14ac:dyDescent="0.2">
      <c r="D1988" s="131"/>
      <c r="E1988" s="131"/>
      <c r="F1988" s="131"/>
      <c r="G1988" s="131"/>
      <c r="H1988" s="340"/>
      <c r="L1988" s="131"/>
      <c r="M1988" s="131"/>
      <c r="N1988" s="131"/>
      <c r="O1988" s="131"/>
      <c r="P1988" s="131"/>
      <c r="Q1988" s="131"/>
      <c r="R1988" s="131"/>
      <c r="S1988" s="131"/>
      <c r="T1988" s="131"/>
      <c r="U1988" s="131"/>
      <c r="V1988" s="131"/>
      <c r="W1988" s="131"/>
      <c r="X1988" s="131"/>
      <c r="Y1988" s="131"/>
      <c r="Z1988" s="131"/>
      <c r="AA1988" s="131"/>
      <c r="AB1988" s="131"/>
      <c r="AC1988" s="131"/>
    </row>
    <row r="1989" spans="4:29" x14ac:dyDescent="0.2">
      <c r="D1989" s="131"/>
      <c r="E1989" s="131"/>
      <c r="F1989" s="131"/>
      <c r="G1989" s="131"/>
      <c r="H1989" s="340"/>
      <c r="L1989" s="131"/>
      <c r="M1989" s="131"/>
      <c r="N1989" s="131"/>
      <c r="O1989" s="131"/>
      <c r="P1989" s="131"/>
      <c r="Q1989" s="131"/>
      <c r="R1989" s="131"/>
      <c r="S1989" s="131"/>
      <c r="T1989" s="131"/>
      <c r="U1989" s="131"/>
      <c r="V1989" s="131"/>
      <c r="W1989" s="131"/>
      <c r="X1989" s="131"/>
      <c r="Y1989" s="131"/>
      <c r="Z1989" s="131"/>
      <c r="AA1989" s="131"/>
      <c r="AB1989" s="131"/>
      <c r="AC1989" s="131"/>
    </row>
    <row r="1990" spans="4:29" x14ac:dyDescent="0.2">
      <c r="D1990" s="131"/>
      <c r="E1990" s="131"/>
      <c r="F1990" s="131"/>
      <c r="G1990" s="131"/>
      <c r="H1990" s="340"/>
      <c r="L1990" s="131"/>
      <c r="M1990" s="131"/>
      <c r="N1990" s="131"/>
      <c r="O1990" s="131"/>
      <c r="P1990" s="131"/>
      <c r="Q1990" s="131"/>
      <c r="R1990" s="131"/>
      <c r="S1990" s="131"/>
      <c r="T1990" s="131"/>
      <c r="U1990" s="131"/>
      <c r="V1990" s="131"/>
      <c r="W1990" s="131"/>
      <c r="X1990" s="131"/>
      <c r="Y1990" s="131"/>
      <c r="Z1990" s="131"/>
      <c r="AA1990" s="131"/>
      <c r="AB1990" s="131"/>
      <c r="AC1990" s="131"/>
    </row>
    <row r="1991" spans="4:29" x14ac:dyDescent="0.2">
      <c r="D1991" s="131"/>
      <c r="E1991" s="131"/>
      <c r="F1991" s="131"/>
      <c r="G1991" s="131"/>
      <c r="H1991" s="340"/>
      <c r="L1991" s="131"/>
      <c r="M1991" s="131"/>
      <c r="N1991" s="131"/>
      <c r="O1991" s="131"/>
      <c r="P1991" s="131"/>
      <c r="Q1991" s="131"/>
      <c r="R1991" s="131"/>
      <c r="S1991" s="131"/>
      <c r="T1991" s="131"/>
      <c r="U1991" s="131"/>
      <c r="V1991" s="131"/>
      <c r="W1991" s="131"/>
      <c r="X1991" s="131"/>
      <c r="Y1991" s="131"/>
      <c r="Z1991" s="131"/>
      <c r="AA1991" s="131"/>
      <c r="AB1991" s="131"/>
      <c r="AC1991" s="131"/>
    </row>
    <row r="1992" spans="4:29" x14ac:dyDescent="0.2">
      <c r="D1992" s="131"/>
      <c r="E1992" s="131"/>
      <c r="F1992" s="131"/>
      <c r="G1992" s="131"/>
      <c r="H1992" s="340"/>
      <c r="L1992" s="131"/>
      <c r="M1992" s="131"/>
      <c r="N1992" s="131"/>
      <c r="O1992" s="131"/>
      <c r="P1992" s="131"/>
      <c r="Q1992" s="131"/>
      <c r="R1992" s="131"/>
      <c r="S1992" s="131"/>
      <c r="T1992" s="131"/>
      <c r="U1992" s="131"/>
      <c r="V1992" s="131"/>
      <c r="W1992" s="131"/>
      <c r="X1992" s="131"/>
      <c r="Y1992" s="131"/>
      <c r="Z1992" s="131"/>
      <c r="AA1992" s="131"/>
      <c r="AB1992" s="131"/>
      <c r="AC1992" s="131"/>
    </row>
    <row r="1993" spans="4:29" x14ac:dyDescent="0.2">
      <c r="D1993" s="131"/>
      <c r="E1993" s="131"/>
      <c r="F1993" s="131"/>
      <c r="G1993" s="131"/>
      <c r="H1993" s="340"/>
      <c r="L1993" s="131"/>
      <c r="M1993" s="131"/>
      <c r="N1993" s="131"/>
      <c r="O1993" s="131"/>
      <c r="P1993" s="131"/>
      <c r="Q1993" s="131"/>
      <c r="R1993" s="131"/>
      <c r="S1993" s="131"/>
      <c r="T1993" s="131"/>
      <c r="U1993" s="131"/>
      <c r="V1993" s="131"/>
      <c r="W1993" s="131"/>
      <c r="X1993" s="131"/>
      <c r="Y1993" s="131"/>
      <c r="Z1993" s="131"/>
      <c r="AA1993" s="131"/>
      <c r="AB1993" s="131"/>
      <c r="AC1993" s="131"/>
    </row>
    <row r="1994" spans="4:29" x14ac:dyDescent="0.2">
      <c r="D1994" s="131"/>
      <c r="E1994" s="131"/>
      <c r="F1994" s="131"/>
      <c r="G1994" s="131"/>
      <c r="H1994" s="340"/>
      <c r="L1994" s="131"/>
      <c r="M1994" s="131"/>
      <c r="N1994" s="131"/>
      <c r="O1994" s="131"/>
      <c r="P1994" s="131"/>
      <c r="Q1994" s="131"/>
      <c r="R1994" s="131"/>
      <c r="S1994" s="131"/>
      <c r="T1994" s="131"/>
      <c r="U1994" s="131"/>
      <c r="V1994" s="131"/>
      <c r="W1994" s="131"/>
      <c r="X1994" s="131"/>
      <c r="Y1994" s="131"/>
      <c r="Z1994" s="131"/>
      <c r="AA1994" s="131"/>
      <c r="AB1994" s="131"/>
      <c r="AC1994" s="131"/>
    </row>
    <row r="1995" spans="4:29" x14ac:dyDescent="0.2">
      <c r="D1995" s="131"/>
      <c r="E1995" s="131"/>
      <c r="F1995" s="131"/>
      <c r="G1995" s="131"/>
      <c r="H1995" s="340"/>
      <c r="L1995" s="131"/>
      <c r="M1995" s="131"/>
      <c r="N1995" s="131"/>
      <c r="O1995" s="131"/>
      <c r="P1995" s="131"/>
      <c r="Q1995" s="131"/>
      <c r="R1995" s="131"/>
      <c r="S1995" s="131"/>
      <c r="T1995" s="131"/>
      <c r="U1995" s="131"/>
      <c r="V1995" s="131"/>
      <c r="W1995" s="131"/>
      <c r="X1995" s="131"/>
      <c r="Y1995" s="131"/>
      <c r="Z1995" s="131"/>
      <c r="AA1995" s="131"/>
      <c r="AB1995" s="131"/>
      <c r="AC1995" s="131"/>
    </row>
    <row r="1996" spans="4:29" x14ac:dyDescent="0.2">
      <c r="D1996" s="131"/>
      <c r="E1996" s="131"/>
      <c r="F1996" s="131"/>
      <c r="G1996" s="131"/>
      <c r="H1996" s="340"/>
      <c r="L1996" s="131"/>
      <c r="M1996" s="131"/>
      <c r="N1996" s="131"/>
      <c r="O1996" s="131"/>
      <c r="P1996" s="131"/>
      <c r="Q1996" s="131"/>
      <c r="R1996" s="131"/>
      <c r="S1996" s="131"/>
      <c r="T1996" s="131"/>
      <c r="U1996" s="131"/>
      <c r="V1996" s="131"/>
      <c r="W1996" s="131"/>
      <c r="X1996" s="131"/>
      <c r="Y1996" s="131"/>
      <c r="Z1996" s="131"/>
      <c r="AA1996" s="131"/>
      <c r="AB1996" s="131"/>
      <c r="AC1996" s="131"/>
    </row>
    <row r="1997" spans="4:29" x14ac:dyDescent="0.2">
      <c r="D1997" s="131"/>
      <c r="E1997" s="131"/>
      <c r="F1997" s="131"/>
      <c r="G1997" s="131"/>
      <c r="H1997" s="340"/>
      <c r="L1997" s="131"/>
      <c r="M1997" s="131"/>
      <c r="N1997" s="131"/>
      <c r="O1997" s="131"/>
      <c r="P1997" s="131"/>
      <c r="Q1997" s="131"/>
      <c r="R1997" s="131"/>
      <c r="S1997" s="131"/>
      <c r="T1997" s="131"/>
      <c r="U1997" s="131"/>
      <c r="V1997" s="131"/>
      <c r="W1997" s="131"/>
      <c r="X1997" s="131"/>
      <c r="Y1997" s="131"/>
      <c r="Z1997" s="131"/>
      <c r="AA1997" s="131"/>
      <c r="AB1997" s="131"/>
      <c r="AC1997" s="131"/>
    </row>
    <row r="1998" spans="4:29" x14ac:dyDescent="0.2">
      <c r="D1998" s="131"/>
      <c r="E1998" s="131"/>
      <c r="F1998" s="131"/>
      <c r="G1998" s="131"/>
      <c r="H1998" s="340"/>
      <c r="L1998" s="131"/>
      <c r="M1998" s="131"/>
      <c r="N1998" s="131"/>
      <c r="O1998" s="131"/>
      <c r="P1998" s="131"/>
      <c r="Q1998" s="131"/>
      <c r="R1998" s="131"/>
      <c r="S1998" s="131"/>
      <c r="T1998" s="131"/>
      <c r="U1998" s="131"/>
      <c r="V1998" s="131"/>
      <c r="W1998" s="131"/>
      <c r="X1998" s="131"/>
      <c r="Y1998" s="131"/>
      <c r="Z1998" s="131"/>
      <c r="AA1998" s="131"/>
      <c r="AB1998" s="131"/>
      <c r="AC1998" s="131"/>
    </row>
    <row r="1999" spans="4:29" x14ac:dyDescent="0.2">
      <c r="D1999" s="131"/>
      <c r="E1999" s="131"/>
      <c r="F1999" s="131"/>
      <c r="G1999" s="131"/>
      <c r="H1999" s="340"/>
      <c r="L1999" s="131"/>
      <c r="M1999" s="131"/>
      <c r="N1999" s="131"/>
      <c r="O1999" s="131"/>
      <c r="P1999" s="131"/>
      <c r="Q1999" s="131"/>
      <c r="R1999" s="131"/>
      <c r="S1999" s="131"/>
      <c r="T1999" s="131"/>
      <c r="U1999" s="131"/>
      <c r="V1999" s="131"/>
      <c r="W1999" s="131"/>
      <c r="X1999" s="131"/>
      <c r="Y1999" s="131"/>
      <c r="Z1999" s="131"/>
      <c r="AA1999" s="131"/>
      <c r="AB1999" s="131"/>
      <c r="AC1999" s="131"/>
    </row>
    <row r="2000" spans="4:29" x14ac:dyDescent="0.2">
      <c r="D2000" s="131"/>
      <c r="E2000" s="131"/>
      <c r="F2000" s="131"/>
      <c r="G2000" s="131"/>
      <c r="H2000" s="340"/>
      <c r="L2000" s="131"/>
      <c r="M2000" s="131"/>
      <c r="N2000" s="131"/>
      <c r="O2000" s="131"/>
      <c r="P2000" s="131"/>
      <c r="Q2000" s="131"/>
      <c r="R2000" s="131"/>
      <c r="S2000" s="131"/>
      <c r="T2000" s="131"/>
      <c r="U2000" s="131"/>
      <c r="V2000" s="131"/>
      <c r="W2000" s="131"/>
      <c r="X2000" s="131"/>
      <c r="Y2000" s="131"/>
      <c r="Z2000" s="131"/>
      <c r="AA2000" s="131"/>
      <c r="AB2000" s="131"/>
      <c r="AC2000" s="131"/>
    </row>
  </sheetData>
  <sheetProtection algorithmName="SHA-512" hashValue="pmB/hFsNJbOwKydpkzBUX52vpOGahCuSTUrUzR3cLNK2rCrhpB/Kfrw4SEi1mMJtt5UiZy74d2MJ2ngpwj3Tug==" saltValue="hhddDDxQHtI5qfCBnELhEQ==" spinCount="100000" sheet="1" formatCells="0" formatColumns="0" formatRows="0" insertColumns="0" insertRows="0" insertHyperlinks="0" deleteColumns="0" deleteRows="0" sort="0" autoFilter="0" pivotTables="0"/>
  <mergeCells count="32">
    <mergeCell ref="AA3:AA4"/>
    <mergeCell ref="V3:V4"/>
    <mergeCell ref="W3:W4"/>
    <mergeCell ref="X3:X4"/>
    <mergeCell ref="Y3:Y4"/>
    <mergeCell ref="Z3:Z4"/>
    <mergeCell ref="Q3:Q4"/>
    <mergeCell ref="R3:R4"/>
    <mergeCell ref="S3:S4"/>
    <mergeCell ref="T3:T4"/>
    <mergeCell ref="U3:U4"/>
    <mergeCell ref="B63:G63"/>
    <mergeCell ref="M1:AB1"/>
    <mergeCell ref="M2:AB2"/>
    <mergeCell ref="M3:M4"/>
    <mergeCell ref="N3:N4"/>
    <mergeCell ref="O3:O4"/>
    <mergeCell ref="P3:P4"/>
    <mergeCell ref="A25:G25"/>
    <mergeCell ref="L26:L31"/>
    <mergeCell ref="A32:G32"/>
    <mergeCell ref="L38:L40"/>
    <mergeCell ref="B41:H41"/>
    <mergeCell ref="B51:H51"/>
    <mergeCell ref="A1:L1"/>
    <mergeCell ref="A2:H2"/>
    <mergeCell ref="AB3:AB4"/>
    <mergeCell ref="L2:L5"/>
    <mergeCell ref="A3:H3"/>
    <mergeCell ref="L13:L14"/>
    <mergeCell ref="L17:L18"/>
    <mergeCell ref="B54:C54"/>
  </mergeCells>
  <printOptions horizontalCentered="1"/>
  <pageMargins left="0.15748031496062992" right="0.15748031496062992" top="0.59055118110236227" bottom="0.59055118110236227" header="0" footer="0"/>
  <pageSetup paperSize="10253" scale="200" orientation="landscape" horizontalDpi="4294967294" verticalDpi="4294967294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6145" r:id="rId4">
          <objectPr defaultSize="0" autoPict="0" r:id="rId5">
            <anchor moveWithCells="1" sizeWithCells="1">
              <from>
                <xdr:col>1</xdr:col>
                <xdr:colOff>4629150</xdr:colOff>
                <xdr:row>0</xdr:row>
                <xdr:rowOff>38100</xdr:rowOff>
              </from>
              <to>
                <xdr:col>2</xdr:col>
                <xdr:colOff>476250</xdr:colOff>
                <xdr:row>0</xdr:row>
                <xdr:rowOff>666750</xdr:rowOff>
              </to>
            </anchor>
          </objectPr>
        </oleObject>
      </mc:Choice>
      <mc:Fallback>
        <oleObject progId="PBrush" shapeId="614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</sheetPr>
  <dimension ref="A1:W2008"/>
  <sheetViews>
    <sheetView showGridLines="0" tabSelected="1" view="pageBreakPreview" topLeftCell="A2" zoomScale="70" zoomScaleNormal="100" zoomScaleSheetLayoutView="70" zoomScalePageLayoutView="40" workbookViewId="0">
      <selection activeCell="D18" sqref="D18"/>
    </sheetView>
  </sheetViews>
  <sheetFormatPr baseColWidth="10" defaultRowHeight="12.75" x14ac:dyDescent="0.2"/>
  <cols>
    <col min="1" max="1" width="8.28515625" style="1592" customWidth="1"/>
    <col min="2" max="2" width="87.140625" style="1493" customWidth="1"/>
    <col min="3" max="3" width="8.85546875" style="1493" customWidth="1"/>
    <col min="4" max="4" width="13" style="1594" customWidth="1"/>
    <col min="5" max="5" width="12.85546875" style="1595" hidden="1" customWidth="1"/>
    <col min="6" max="6" width="14.140625" style="1596" hidden="1" customWidth="1"/>
    <col min="7" max="7" width="14.28515625" style="1597" customWidth="1"/>
    <col min="8" max="9" width="13" style="1597" hidden="1" customWidth="1"/>
    <col min="10" max="10" width="17" style="1577" customWidth="1"/>
    <col min="11" max="11" width="23" style="1493" hidden="1" customWidth="1"/>
    <col min="12" max="12" width="25.28515625" style="1493" hidden="1" customWidth="1"/>
    <col min="13" max="13" width="0.140625" style="1493" hidden="1" customWidth="1"/>
    <col min="14" max="14" width="9" style="1599" hidden="1" customWidth="1"/>
    <col min="15" max="15" width="19.140625" style="1493" hidden="1" customWidth="1"/>
    <col min="16" max="17" width="3.42578125" style="1493" hidden="1" customWidth="1"/>
    <col min="18" max="18" width="7.7109375" style="1493" hidden="1" customWidth="1"/>
    <col min="19" max="19" width="16.5703125" style="1493" bestFit="1" customWidth="1"/>
    <col min="20" max="20" width="24.7109375" style="1493" bestFit="1" customWidth="1"/>
    <col min="21" max="21" width="20.28515625" style="1493" customWidth="1"/>
    <col min="22" max="22" width="17" style="1493" bestFit="1" customWidth="1"/>
    <col min="23" max="23" width="12.7109375" style="1493" bestFit="1" customWidth="1"/>
    <col min="24" max="16384" width="11.42578125" style="1493"/>
  </cols>
  <sheetData>
    <row r="1" spans="1:21" ht="76.5" hidden="1" customHeight="1" x14ac:dyDescent="0.25">
      <c r="A1" s="1690"/>
      <c r="B1" s="1691"/>
      <c r="C1" s="1691"/>
      <c r="D1" s="1691"/>
      <c r="E1" s="1691"/>
      <c r="F1" s="1691"/>
      <c r="G1" s="1691"/>
      <c r="H1" s="1691"/>
      <c r="I1" s="1691"/>
      <c r="J1" s="1691"/>
      <c r="K1" s="1691"/>
      <c r="L1" s="1691"/>
      <c r="M1" s="1691"/>
      <c r="N1" s="1692"/>
    </row>
    <row r="2" spans="1:21" ht="36" customHeight="1" x14ac:dyDescent="0.2">
      <c r="A2" s="1676" t="s">
        <v>2946</v>
      </c>
      <c r="B2" s="1677"/>
      <c r="C2" s="1677"/>
      <c r="D2" s="1677"/>
      <c r="E2" s="1677"/>
      <c r="F2" s="1677"/>
      <c r="G2" s="1677"/>
      <c r="H2" s="1677"/>
      <c r="I2" s="1677"/>
      <c r="J2" s="1677"/>
      <c r="K2" s="1494"/>
      <c r="L2" s="1494"/>
      <c r="M2" s="1494"/>
      <c r="N2" s="1689" t="s">
        <v>2862</v>
      </c>
    </row>
    <row r="3" spans="1:21" ht="18" customHeight="1" x14ac:dyDescent="0.25">
      <c r="A3" s="1678"/>
      <c r="B3" s="1679"/>
      <c r="C3" s="1679"/>
      <c r="D3" s="1679"/>
      <c r="E3" s="1679"/>
      <c r="F3" s="1679"/>
      <c r="G3" s="1679"/>
      <c r="H3" s="1679"/>
      <c r="I3" s="1679"/>
      <c r="J3" s="1679"/>
      <c r="K3" s="1494"/>
      <c r="L3" s="1494"/>
      <c r="M3" s="1494"/>
      <c r="N3" s="1689"/>
    </row>
    <row r="4" spans="1:21" ht="63" x14ac:dyDescent="0.2">
      <c r="A4" s="1470" t="s">
        <v>962</v>
      </c>
      <c r="B4" s="1471" t="s">
        <v>1535</v>
      </c>
      <c r="C4" s="1471" t="s">
        <v>964</v>
      </c>
      <c r="D4" s="1472" t="s">
        <v>1536</v>
      </c>
      <c r="E4" s="1495" t="s">
        <v>2864</v>
      </c>
      <c r="F4" s="1495" t="s">
        <v>1127</v>
      </c>
      <c r="G4" s="1473" t="s">
        <v>1537</v>
      </c>
      <c r="H4" s="1497" t="s">
        <v>2959</v>
      </c>
      <c r="I4" s="1497" t="s">
        <v>2960</v>
      </c>
      <c r="J4" s="1471" t="s">
        <v>1538</v>
      </c>
      <c r="K4" s="1494"/>
      <c r="L4" s="1494"/>
      <c r="M4" s="1494"/>
      <c r="N4" s="1689"/>
    </row>
    <row r="5" spans="1:21" ht="15.75" x14ac:dyDescent="0.2">
      <c r="A5" s="1474"/>
      <c r="B5" s="1475" t="s">
        <v>1390</v>
      </c>
      <c r="C5" s="1475"/>
      <c r="D5" s="1476"/>
      <c r="E5" s="1499"/>
      <c r="F5" s="1500"/>
      <c r="G5" s="1501"/>
      <c r="H5" s="1501"/>
      <c r="I5" s="1501"/>
      <c r="J5" s="1498"/>
      <c r="K5" s="1494" t="s">
        <v>2130</v>
      </c>
      <c r="L5" s="1494" t="s">
        <v>2131</v>
      </c>
      <c r="M5" s="1494"/>
      <c r="N5" s="1689"/>
    </row>
    <row r="6" spans="1:21" s="1511" customFormat="1" ht="15.75" x14ac:dyDescent="0.2">
      <c r="A6" s="1477" t="s">
        <v>2005</v>
      </c>
      <c r="B6" s="1478" t="str">
        <f>VLOOKUP(A6,A.P.U!C:F,2,0)</f>
        <v xml:space="preserve"> Localización y Replanteo de Redes (incluye topografía y plano récord)</v>
      </c>
      <c r="C6" s="1479" t="str">
        <f>VLOOKUP(A6,A.P.U!C:F,3,0)</f>
        <v>Ml</v>
      </c>
      <c r="D6" s="1480">
        <f>ROUND(+'Cantidades de obra'!E48+'cant acued'!C11,2)</f>
        <v>909.5</v>
      </c>
      <c r="E6" s="1505">
        <f>VLOOKUP(A6,A.P.U!$C:$K,6,0)+VLOOKUP(A6,A.P.U!$C:$K,8,0)+VLOOKUP(A6,A.P.U!$C:$K,9,0)</f>
        <v>1436</v>
      </c>
      <c r="F6" s="1506">
        <f>VLOOKUP(A6,A.P.U!$C:$K,7,0)</f>
        <v>352</v>
      </c>
      <c r="G6" s="1506"/>
      <c r="H6" s="1506">
        <f>ROUND(G6*0.9,0)</f>
        <v>0</v>
      </c>
      <c r="I6" s="1506">
        <f>ROUND(G6*1.1,0)</f>
        <v>0</v>
      </c>
      <c r="J6" s="1507"/>
      <c r="K6" s="1508">
        <f>(D6*G6)</f>
        <v>0</v>
      </c>
      <c r="L6" s="1508">
        <v>0</v>
      </c>
      <c r="M6" s="1508">
        <f>+J6-K6</f>
        <v>0</v>
      </c>
      <c r="N6" s="1509">
        <v>1.3</v>
      </c>
      <c r="O6" s="1510"/>
      <c r="S6" s="1512"/>
      <c r="U6" s="1513"/>
    </row>
    <row r="7" spans="1:21" ht="15.75" x14ac:dyDescent="0.25">
      <c r="A7" s="1481"/>
      <c r="B7" s="1482" t="s">
        <v>2106</v>
      </c>
      <c r="C7" s="1482"/>
      <c r="D7" s="1483"/>
      <c r="E7" s="1515"/>
      <c r="F7" s="1516"/>
      <c r="G7" s="1517"/>
      <c r="H7" s="1517"/>
      <c r="I7" s="1517"/>
      <c r="J7" s="1518"/>
      <c r="K7" s="1519">
        <f t="shared" ref="K7:K24" si="0">(D7*G7)</f>
        <v>0</v>
      </c>
      <c r="L7" s="1519">
        <f t="shared" ref="L7:L33" si="1">(F7*D7)</f>
        <v>0</v>
      </c>
      <c r="M7" s="1519">
        <f t="shared" ref="M7:M38" si="2">+J7-K7</f>
        <v>0</v>
      </c>
      <c r="N7" s="1520"/>
      <c r="O7" s="1521"/>
      <c r="S7" s="1512"/>
      <c r="U7" s="1522"/>
    </row>
    <row r="8" spans="1:21" ht="15.75" x14ac:dyDescent="0.25">
      <c r="A8" s="1477" t="s">
        <v>2101</v>
      </c>
      <c r="B8" s="1478" t="str">
        <f>VLOOKUP(A8,A.P.U!C:F,2,0)</f>
        <v xml:space="preserve"> Demolición pavimento en Concreto Hidráulico         </v>
      </c>
      <c r="C8" s="1479" t="str">
        <f>VLOOKUP(A8,A.P.U!C:F,3,0)</f>
        <v>M3</v>
      </c>
      <c r="D8" s="1484">
        <f>ROUND(+'Cantidades de obra'!AA48+'Cantidades de obra'!AG48+'cant acued'!I14,2)</f>
        <v>280.07</v>
      </c>
      <c r="E8" s="1524">
        <f>VLOOKUP(A8,A.P.U!$C:$K,6,0)+VLOOKUP(A8,A.P.U!$C:$K,8,0)+VLOOKUP(A8,A.P.U!$C:$K,9,0)</f>
        <v>77152.238750000004</v>
      </c>
      <c r="F8" s="1525">
        <f>VLOOKUP(A8,A.P.U!$C:$K,7,0)</f>
        <v>361.6</v>
      </c>
      <c r="G8" s="1506"/>
      <c r="H8" s="1506">
        <f>ROUND(G8*0.9,0)</f>
        <v>0</v>
      </c>
      <c r="I8" s="1506">
        <f>ROUND(G8*1.1,0)</f>
        <v>0</v>
      </c>
      <c r="J8" s="1526"/>
      <c r="K8" s="1519">
        <f t="shared" si="0"/>
        <v>0</v>
      </c>
      <c r="L8" s="1519">
        <v>0</v>
      </c>
      <c r="M8" s="1519">
        <f t="shared" si="2"/>
        <v>0</v>
      </c>
      <c r="N8" s="1527">
        <v>8.11</v>
      </c>
      <c r="O8" s="1521"/>
      <c r="S8" s="1512"/>
      <c r="U8" s="1522"/>
    </row>
    <row r="9" spans="1:21" ht="15.75" x14ac:dyDescent="0.25">
      <c r="A9" s="1477" t="s">
        <v>2104</v>
      </c>
      <c r="B9" s="1478" t="str">
        <f>VLOOKUP(A9,A.P.U!C:F,2,0)</f>
        <v xml:space="preserve">Demolición de Andenes y Sardineles en Concreto Hidráulico            </v>
      </c>
      <c r="C9" s="1479" t="str">
        <f>VLOOKUP(A9,A.P.U!C:F,3,0)</f>
        <v>M3</v>
      </c>
      <c r="D9" s="1484">
        <f>ROUND(+'cant acued'!I15+'Cantidades de obra'!AH48,2)</f>
        <v>19.7</v>
      </c>
      <c r="E9" s="1524">
        <f>VLOOKUP(A9,A.P.U!$C:$K,6,0)+VLOOKUP(A9,A.P.U!$C:$K,8,0)+VLOOKUP(A9,A.P.U!$C:$K,9,0)</f>
        <v>48732.238750000004</v>
      </c>
      <c r="F9" s="1525">
        <f>VLOOKUP(A9,A.P.U!$C:$K,7,0)</f>
        <v>1030.4000000000001</v>
      </c>
      <c r="G9" s="1506"/>
      <c r="H9" s="1506">
        <f t="shared" ref="H9:H11" si="3">ROUND(G9*0.9,0)</f>
        <v>0</v>
      </c>
      <c r="I9" s="1506">
        <f t="shared" ref="I9:I11" si="4">ROUND(G9*1.1,0)</f>
        <v>0</v>
      </c>
      <c r="J9" s="1526"/>
      <c r="K9" s="1519">
        <f t="shared" si="0"/>
        <v>0</v>
      </c>
      <c r="L9" s="1519">
        <v>0</v>
      </c>
      <c r="M9" s="1519">
        <f t="shared" si="2"/>
        <v>0</v>
      </c>
      <c r="N9" s="1527">
        <v>8.1300000000000008</v>
      </c>
      <c r="O9" s="1521"/>
      <c r="S9" s="1512"/>
      <c r="U9" s="1522"/>
    </row>
    <row r="10" spans="1:21" s="1534" customFormat="1" ht="15.75" x14ac:dyDescent="0.25">
      <c r="A10" s="1485" t="s">
        <v>2392</v>
      </c>
      <c r="B10" s="1486" t="str">
        <f>VLOOKUP(A10,A.P.U!C:F,2,0)</f>
        <v xml:space="preserve"> Demolición en Concreto Hidráulico (CILINDROS CÁMARAS)        .</v>
      </c>
      <c r="C10" s="1487" t="str">
        <f>VLOOKUP(A10,A.P.U!C:F,3,0)</f>
        <v>M</v>
      </c>
      <c r="D10" s="1488">
        <f>'Cantidades de obra'!V48</f>
        <v>64.48</v>
      </c>
      <c r="E10" s="1528">
        <f>VLOOKUP(A10,A.P.U!$C:$K,6,0)+VLOOKUP(A10,A.P.U!$C:$K,8,0)+VLOOKUP(A10,A.P.U!$C:$K,9,0)</f>
        <v>4782.1865545781257</v>
      </c>
      <c r="F10" s="1529">
        <f>VLOOKUP(A10,A.P.U!$C:$K,7,0)</f>
        <v>40634.567820000004</v>
      </c>
      <c r="G10" s="1530"/>
      <c r="H10" s="1506">
        <f t="shared" si="3"/>
        <v>0</v>
      </c>
      <c r="I10" s="1506">
        <f t="shared" si="4"/>
        <v>0</v>
      </c>
      <c r="J10" s="1531"/>
      <c r="K10" s="1532">
        <f t="shared" si="0"/>
        <v>0</v>
      </c>
      <c r="L10" s="1532">
        <v>0</v>
      </c>
      <c r="M10" s="1532">
        <f t="shared" si="2"/>
        <v>0</v>
      </c>
      <c r="N10" s="1527">
        <v>8.16</v>
      </c>
      <c r="O10" s="1533"/>
      <c r="S10" s="1512"/>
      <c r="U10" s="1535"/>
    </row>
    <row r="11" spans="1:21" s="1534" customFormat="1" ht="15.75" x14ac:dyDescent="0.25">
      <c r="A11" s="1485" t="s">
        <v>2856</v>
      </c>
      <c r="B11" s="1486" t="str">
        <f>VLOOKUP(A11,A.P.U!C:F,2,0)</f>
        <v xml:space="preserve"> Demolición en Concreto Hidráulico (BASES Y CAÑUELAS CÁMARAS)        .</v>
      </c>
      <c r="C11" s="1487" t="str">
        <f>VLOOKUP(A11,A.P.U!C:F,3,0)</f>
        <v>UN</v>
      </c>
      <c r="D11" s="1488">
        <f>'Cantidades de obra'!N84</f>
        <v>38</v>
      </c>
      <c r="E11" s="1528">
        <f>VLOOKUP(A11,A.P.U!$C:$K,6,0)+VLOOKUP(A11,A.P.U!$C:$K,8,0)+VLOOKUP(A11,A.P.U!$C:$K,9,0)</f>
        <v>17701.369618143752</v>
      </c>
      <c r="F11" s="1529">
        <f>VLOOKUP(A11,A.P.U!$C:$K,7,0)</f>
        <v>40634.567820000004</v>
      </c>
      <c r="G11" s="1530"/>
      <c r="H11" s="1506">
        <f t="shared" si="3"/>
        <v>0</v>
      </c>
      <c r="I11" s="1506">
        <f t="shared" si="4"/>
        <v>0</v>
      </c>
      <c r="J11" s="1531"/>
      <c r="K11" s="1532"/>
      <c r="L11" s="1532"/>
      <c r="M11" s="1532"/>
      <c r="N11" s="1527">
        <v>8.1199999999999992</v>
      </c>
      <c r="O11" s="1533"/>
      <c r="S11" s="1512"/>
      <c r="U11" s="1535"/>
    </row>
    <row r="12" spans="1:21" ht="18" customHeight="1" x14ac:dyDescent="0.25">
      <c r="A12" s="1481"/>
      <c r="B12" s="1482" t="s">
        <v>874</v>
      </c>
      <c r="C12" s="1482"/>
      <c r="D12" s="1483"/>
      <c r="E12" s="1515"/>
      <c r="F12" s="1516"/>
      <c r="G12" s="1517"/>
      <c r="H12" s="1517"/>
      <c r="I12" s="1517"/>
      <c r="J12" s="1518"/>
      <c r="K12" s="1519">
        <f t="shared" si="0"/>
        <v>0</v>
      </c>
      <c r="L12" s="1519">
        <f t="shared" si="1"/>
        <v>0</v>
      </c>
      <c r="M12" s="1519">
        <f t="shared" si="2"/>
        <v>0</v>
      </c>
      <c r="N12" s="1520"/>
      <c r="O12" s="1521"/>
      <c r="S12" s="1512"/>
      <c r="U12" s="1522"/>
    </row>
    <row r="13" spans="1:21" ht="15.75" x14ac:dyDescent="0.25">
      <c r="A13" s="1477" t="s">
        <v>804</v>
      </c>
      <c r="B13" s="1478" t="str">
        <f>VLOOKUP(A13,A.P.U!C:F,2,0)</f>
        <v xml:space="preserve"> Excavación en Zanja - Manual - Cualquier material (seco/húmedo)- 0.0 a 2.0 m        </v>
      </c>
      <c r="C13" s="1479" t="str">
        <f>VLOOKUP(A13,A.P.U!C:F,3,0)</f>
        <v>M3</v>
      </c>
      <c r="D13" s="1484">
        <f>ROUND('Cantidades de obra'!H84,2)*0.9</f>
        <v>2716.0830000000001</v>
      </c>
      <c r="E13" s="1524">
        <f>VLOOKUP(A13,A.P.U!$C:$K,6,0)+VLOOKUP(A13,A.P.U!$C:$K,8,0)+VLOOKUP(A13,A.P.U!$C:$K,9,0)</f>
        <v>14890.769375000002</v>
      </c>
      <c r="F13" s="1525">
        <f>VLOOKUP(A13,A.P.U!$C:$K,7,0)</f>
        <v>0</v>
      </c>
      <c r="G13" s="1506"/>
      <c r="H13" s="1506">
        <f>ROUND(G13*0.9,0)</f>
        <v>0</v>
      </c>
      <c r="I13" s="1506">
        <f>ROUND(G13*1.1,0)</f>
        <v>0</v>
      </c>
      <c r="J13" s="1526"/>
      <c r="K13" s="1519">
        <f t="shared" si="0"/>
        <v>0</v>
      </c>
      <c r="L13" s="1519">
        <f t="shared" si="1"/>
        <v>0</v>
      </c>
      <c r="M13" s="1519">
        <f t="shared" si="2"/>
        <v>0</v>
      </c>
      <c r="N13" s="1686">
        <v>2.11</v>
      </c>
      <c r="O13" s="1521"/>
      <c r="S13" s="1512"/>
      <c r="U13" s="1522"/>
    </row>
    <row r="14" spans="1:21" s="1511" customFormat="1" ht="15.75" x14ac:dyDescent="0.25">
      <c r="A14" s="1477" t="s">
        <v>2088</v>
      </c>
      <c r="B14" s="1478" t="str">
        <f>A.P.U!D69</f>
        <v xml:space="preserve"> Excavación en Zanja - Manual - Cualquier material (seco - húmedo) 2,01 - a 4,00 m                                         </v>
      </c>
      <c r="C14" s="1479" t="str">
        <f>A.P.U!E69</f>
        <v>M3</v>
      </c>
      <c r="D14" s="1484">
        <f>ROUND('Cantidades de obra'!H86,2)*0.9</f>
        <v>102.28500000000001</v>
      </c>
      <c r="E14" s="1524">
        <f>A.P.U!H69+A.P.U!J69</f>
        <v>40756.96875</v>
      </c>
      <c r="F14" s="1525">
        <f>A.P.U!I69</f>
        <v>0</v>
      </c>
      <c r="G14" s="1506"/>
      <c r="H14" s="1506">
        <f t="shared" ref="H14:H15" si="5">ROUND(G14*0.9,0)</f>
        <v>0</v>
      </c>
      <c r="I14" s="1506">
        <f t="shared" ref="I14:I15" si="6">ROUND(G14*1.1,0)</f>
        <v>0</v>
      </c>
      <c r="J14" s="1526"/>
      <c r="K14" s="1508">
        <f t="shared" si="0"/>
        <v>0</v>
      </c>
      <c r="L14" s="1508">
        <f t="shared" si="1"/>
        <v>0</v>
      </c>
      <c r="M14" s="1508">
        <f t="shared" si="2"/>
        <v>0</v>
      </c>
      <c r="N14" s="1688"/>
      <c r="O14" s="1510"/>
      <c r="S14" s="1512"/>
      <c r="U14" s="1513"/>
    </row>
    <row r="15" spans="1:21" s="1511" customFormat="1" ht="15.75" x14ac:dyDescent="0.25">
      <c r="A15" s="1477" t="s">
        <v>2949</v>
      </c>
      <c r="B15" s="1478" t="str">
        <f>VLOOKUP(A15,A.P.U!C:F,2,0)</f>
        <v xml:space="preserve"> Excavación en Zanja - Mecánica - Cualquier material (seco - húmedo) 0 - 6 m                               </v>
      </c>
      <c r="C15" s="1479" t="str">
        <f>VLOOKUP(A15,A.P.U!C:F,3,0)</f>
        <v>M3</v>
      </c>
      <c r="D15" s="1484">
        <f>ROUND('Cantidades de obra'!H84,2)*0.1+11.4</f>
        <v>313.18699999999995</v>
      </c>
      <c r="E15" s="1524">
        <f>VLOOKUP(A15,A.P.U!$C:$K,6,0)+VLOOKUP(A15,A.P.U!$C:$K,8,0)+VLOOKUP(A15,A.P.U!$C:$K,9,0)</f>
        <v>7053</v>
      </c>
      <c r="F15" s="1525">
        <f>VLOOKUP(A15,A.P.U!$C:$K,7,0)</f>
        <v>0</v>
      </c>
      <c r="G15" s="1506"/>
      <c r="H15" s="1506">
        <f t="shared" si="5"/>
        <v>0</v>
      </c>
      <c r="I15" s="1506">
        <f t="shared" si="6"/>
        <v>0</v>
      </c>
      <c r="J15" s="1526"/>
      <c r="K15" s="1508"/>
      <c r="L15" s="1508"/>
      <c r="M15" s="1508"/>
      <c r="N15" s="1536"/>
      <c r="O15" s="1510"/>
      <c r="S15" s="1512"/>
      <c r="U15" s="1513"/>
    </row>
    <row r="16" spans="1:21" ht="18" customHeight="1" x14ac:dyDescent="0.25">
      <c r="A16" s="1481"/>
      <c r="B16" s="1482" t="s">
        <v>873</v>
      </c>
      <c r="C16" s="1482"/>
      <c r="D16" s="1483"/>
      <c r="E16" s="1515"/>
      <c r="F16" s="1516"/>
      <c r="G16" s="1517"/>
      <c r="H16" s="1517"/>
      <c r="I16" s="1517"/>
      <c r="J16" s="1518"/>
      <c r="K16" s="1519">
        <f t="shared" si="0"/>
        <v>0</v>
      </c>
      <c r="L16" s="1519">
        <f t="shared" si="1"/>
        <v>0</v>
      </c>
      <c r="M16" s="1519">
        <f t="shared" si="2"/>
        <v>0</v>
      </c>
      <c r="N16" s="1520"/>
      <c r="O16" s="1521"/>
      <c r="S16" s="1512"/>
      <c r="U16" s="1522"/>
    </row>
    <row r="17" spans="1:21" ht="31.5" x14ac:dyDescent="0.25">
      <c r="A17" s="1477" t="s">
        <v>2092</v>
      </c>
      <c r="B17" s="1478" t="str">
        <f>VLOOKUP(A17,A.P.U!C:F,2,0)</f>
        <v xml:space="preserve">Cargue y evacuación de escombros y sobrantes en Vehículo Automotor, hasta cualquier distancia.                 </v>
      </c>
      <c r="C17" s="1479" t="str">
        <f>VLOOKUP(A17,A.P.U!C:F,3,0)</f>
        <v>M3</v>
      </c>
      <c r="D17" s="1484">
        <f>ROUND('Cantidades de obra'!H88,2)</f>
        <v>961.2</v>
      </c>
      <c r="E17" s="1524">
        <f>VLOOKUP(A17,A.P.U!$C:$K,6,0)+VLOOKUP(A17,A.P.U!$C:$K,8,0)+VLOOKUP(A17,A.P.U!$C:$K,9,0)</f>
        <v>25077.92625</v>
      </c>
      <c r="F17" s="1525">
        <f>VLOOKUP(A17,A.P.U!$C:$K,7,0)</f>
        <v>0</v>
      </c>
      <c r="G17" s="1506"/>
      <c r="H17" s="1506">
        <f>ROUND(G17*0.9,0)</f>
        <v>0</v>
      </c>
      <c r="I17" s="1506">
        <f>ROUND(G17*1.1,0)</f>
        <v>0</v>
      </c>
      <c r="J17" s="1526"/>
      <c r="K17" s="1519">
        <f t="shared" si="0"/>
        <v>0</v>
      </c>
      <c r="L17" s="1519">
        <f t="shared" si="1"/>
        <v>0</v>
      </c>
      <c r="M17" s="1519">
        <f t="shared" si="2"/>
        <v>0</v>
      </c>
      <c r="N17" s="1686">
        <v>2.4</v>
      </c>
      <c r="O17" s="1521"/>
      <c r="S17" s="1512"/>
      <c r="U17" s="1522"/>
    </row>
    <row r="18" spans="1:21" s="1511" customFormat="1" ht="31.5" x14ac:dyDescent="0.2">
      <c r="A18" s="1477" t="s">
        <v>2726</v>
      </c>
      <c r="B18" s="1478" t="str">
        <f>VLOOKUP(A18,A.P.U!C:F,2,0)</f>
        <v>Transporte terrestre de materiales para ejecución de obra incluye disposición final en cualquier tipo vía</v>
      </c>
      <c r="C18" s="1479" t="str">
        <f>VLOOKUP(A18,A.P.U!C:F,3,0)</f>
        <v>M3/KM</v>
      </c>
      <c r="D18" s="1480">
        <f>(D43+D22)*20</f>
        <v>9860.2000000000007</v>
      </c>
      <c r="E18" s="1505">
        <f>VLOOKUP(A18,A.P.U!$C:$K,6,0)+VLOOKUP(A18,A.P.U!$C:$K,8,0)+VLOOKUP(A18,A.P.U!$C:$K,9,0)</f>
        <v>928</v>
      </c>
      <c r="F18" s="1506">
        <f>VLOOKUP(A18,A.P.U!$C:$K,7,0)</f>
        <v>0</v>
      </c>
      <c r="G18" s="1506"/>
      <c r="H18" s="1506">
        <f>ROUND(G18*0.9,0)</f>
        <v>0</v>
      </c>
      <c r="I18" s="1506">
        <f>ROUND(G18*1.1,0)</f>
        <v>0</v>
      </c>
      <c r="J18" s="1507"/>
      <c r="K18" s="1508"/>
      <c r="L18" s="1508"/>
      <c r="M18" s="1508"/>
      <c r="N18" s="1688"/>
      <c r="O18" s="1510"/>
      <c r="S18" s="1512"/>
      <c r="U18" s="1513"/>
    </row>
    <row r="19" spans="1:21" ht="18" customHeight="1" x14ac:dyDescent="0.25">
      <c r="A19" s="1481"/>
      <c r="B19" s="1482" t="s">
        <v>1751</v>
      </c>
      <c r="C19" s="1482"/>
      <c r="D19" s="1483"/>
      <c r="E19" s="1515"/>
      <c r="F19" s="1516"/>
      <c r="G19" s="1517"/>
      <c r="H19" s="1517"/>
      <c r="I19" s="1517"/>
      <c r="J19" s="1518"/>
      <c r="K19" s="1519">
        <f t="shared" si="0"/>
        <v>0</v>
      </c>
      <c r="L19" s="1519">
        <f t="shared" si="1"/>
        <v>0</v>
      </c>
      <c r="M19" s="1519">
        <f t="shared" si="2"/>
        <v>0</v>
      </c>
      <c r="N19" s="1520"/>
      <c r="O19" s="1521"/>
      <c r="S19" s="1512"/>
      <c r="U19" s="1522"/>
    </row>
    <row r="20" spans="1:21" ht="31.5" x14ac:dyDescent="0.25">
      <c r="A20" s="1477" t="s">
        <v>1752</v>
      </c>
      <c r="B20" s="1478" t="str">
        <f>VLOOKUP(A20,A.P.U!C:F,2,0)</f>
        <v xml:space="preserve">Suministros, Transporte e Instalacion Rellenos Compactados con Materia seleccionado proveniente de la excavacion         </v>
      </c>
      <c r="C20" s="1479" t="str">
        <f>VLOOKUP(A20,A.P.U!C:F,3,0)</f>
        <v>M3</v>
      </c>
      <c r="D20" s="1484">
        <f>ROUND(('Cantidades de obra'!H98),2)</f>
        <v>2534.52</v>
      </c>
      <c r="E20" s="1524">
        <f>VLOOKUP(A20,A.P.U!$C:$K,6,0)+VLOOKUP(A20,A.P.U!$C:$K,8,0)+VLOOKUP(A20,A.P.U!$C:$K,9,0)</f>
        <v>12954.095000000001</v>
      </c>
      <c r="F20" s="1525">
        <f>VLOOKUP(A20,A.P.U!$C:$K,7,0)</f>
        <v>0</v>
      </c>
      <c r="G20" s="1525"/>
      <c r="H20" s="1525">
        <f>ROUND(G20*0.9,0)</f>
        <v>0</v>
      </c>
      <c r="I20" s="1525">
        <f>ROUND(G20*1.1,0)</f>
        <v>0</v>
      </c>
      <c r="J20" s="1526"/>
      <c r="K20" s="1519">
        <f t="shared" si="0"/>
        <v>0</v>
      </c>
      <c r="L20" s="1519">
        <f t="shared" si="1"/>
        <v>0</v>
      </c>
      <c r="M20" s="1519">
        <f t="shared" si="2"/>
        <v>0</v>
      </c>
      <c r="N20" s="1537" t="s">
        <v>2859</v>
      </c>
      <c r="O20" s="1521"/>
      <c r="S20" s="1512"/>
      <c r="U20" s="1522"/>
    </row>
    <row r="21" spans="1:21" ht="15.75" x14ac:dyDescent="0.25">
      <c r="A21" s="1477" t="s">
        <v>2727</v>
      </c>
      <c r="B21" s="1478" t="str">
        <f>VLOOKUP(A21,A.P.U!C:F,2,0)</f>
        <v>Suministros, Transporte e Instalacion Rellenos Compactados con Afirmado (Tipo El Faro)</v>
      </c>
      <c r="C21" s="1479" t="str">
        <f>VLOOKUP(A21,A.P.U!C:F,3,0)</f>
        <v>M3</v>
      </c>
      <c r="D21" s="1484">
        <f>ROUND('Cantidades de obra'!N88,2)</f>
        <v>333.33</v>
      </c>
      <c r="E21" s="1524">
        <f>VLOOKUP(A21,A.P.U!$C:$K,6,0)+VLOOKUP(A21,A.P.U!$C:$K,8,0)+VLOOKUP(A21,A.P.U!$C:$K,9,0)</f>
        <v>23087.110000000004</v>
      </c>
      <c r="F21" s="1525">
        <f>VLOOKUP(A21,A.P.U!$C:$K,7,0)</f>
        <v>39140</v>
      </c>
      <c r="G21" s="1525"/>
      <c r="H21" s="1525">
        <f t="shared" ref="H21:H22" si="7">ROUND(G21*0.9,0)</f>
        <v>0</v>
      </c>
      <c r="I21" s="1525">
        <f t="shared" ref="I21:I22" si="8">ROUND(G21*1.1,0)</f>
        <v>0</v>
      </c>
      <c r="J21" s="1526"/>
      <c r="K21" s="1519"/>
      <c r="L21" s="1519"/>
      <c r="M21" s="1519"/>
      <c r="N21" s="1537" t="s">
        <v>2933</v>
      </c>
      <c r="O21" s="1521"/>
      <c r="S21" s="1512"/>
      <c r="U21" s="1522"/>
    </row>
    <row r="22" spans="1:21" ht="15.75" x14ac:dyDescent="0.25">
      <c r="A22" s="1477" t="s">
        <v>2086</v>
      </c>
      <c r="B22" s="1478" t="str">
        <f>A.P.U!D167</f>
        <v xml:space="preserve">Suministros, Transporte e Instalacion Relleno arena gruesa limpia para tubería </v>
      </c>
      <c r="C22" s="1479" t="str">
        <f>A.P.U!E167</f>
        <v>M3</v>
      </c>
      <c r="D22" s="1484">
        <f>ROUND('Cantidades de obra'!N90,2)</f>
        <v>159.68</v>
      </c>
      <c r="E22" s="1524">
        <f>A.P.U!H167+A.P.U!J167</f>
        <v>12406.390625</v>
      </c>
      <c r="F22" s="1525">
        <f>A.P.U!I167</f>
        <v>45320</v>
      </c>
      <c r="G22" s="1525"/>
      <c r="H22" s="1525">
        <f t="shared" si="7"/>
        <v>0</v>
      </c>
      <c r="I22" s="1525">
        <f t="shared" si="8"/>
        <v>0</v>
      </c>
      <c r="J22" s="1526"/>
      <c r="K22" s="1519">
        <f t="shared" si="0"/>
        <v>0</v>
      </c>
      <c r="L22" s="1519">
        <v>0</v>
      </c>
      <c r="M22" s="1519">
        <f t="shared" si="2"/>
        <v>0</v>
      </c>
      <c r="N22" s="1537" t="s">
        <v>2860</v>
      </c>
      <c r="O22" s="1521"/>
      <c r="S22" s="1512"/>
      <c r="U22" s="1522"/>
    </row>
    <row r="23" spans="1:21" ht="15.75" x14ac:dyDescent="0.25">
      <c r="A23" s="1481"/>
      <c r="B23" s="1482" t="s">
        <v>2417</v>
      </c>
      <c r="C23" s="1482"/>
      <c r="D23" s="1483"/>
      <c r="E23" s="1515"/>
      <c r="F23" s="1516"/>
      <c r="G23" s="1517"/>
      <c r="H23" s="1517"/>
      <c r="I23" s="1517"/>
      <c r="J23" s="1518"/>
      <c r="K23" s="1519">
        <f t="shared" si="0"/>
        <v>0</v>
      </c>
      <c r="L23" s="1519">
        <f t="shared" si="1"/>
        <v>0</v>
      </c>
      <c r="M23" s="1519">
        <f t="shared" si="2"/>
        <v>0</v>
      </c>
      <c r="N23" s="1520"/>
      <c r="O23" s="1521"/>
      <c r="S23" s="1512"/>
      <c r="U23" s="1522"/>
    </row>
    <row r="24" spans="1:21" ht="15.75" x14ac:dyDescent="0.25">
      <c r="A24" s="1477" t="s">
        <v>2420</v>
      </c>
      <c r="B24" s="1478" t="str">
        <f>VLOOKUP(A24,A.P.U!C:F,2,0)</f>
        <v>Suministro, transporte e instalación Entibado continuo en madera Tipo 2</v>
      </c>
      <c r="C24" s="1479" t="str">
        <f>VLOOKUP(A24,A.P.U!C:F,3,0)</f>
        <v>M2</v>
      </c>
      <c r="D24" s="1484">
        <f>ROUND('Cantidades de obra'!U48,0)-207</f>
        <v>1760</v>
      </c>
      <c r="E24" s="1524">
        <f>VLOOKUP(A24,A.P.U!$C:$K,6,0)+VLOOKUP(A24,A.P.U!$C:$K,8,0)+VLOOKUP(A24,A.P.U!$C:$K,9,0)</f>
        <v>4377.1632069687503</v>
      </c>
      <c r="F24" s="1525">
        <f>A.P.U!I206</f>
        <v>11982.8896</v>
      </c>
      <c r="G24" s="1506"/>
      <c r="H24" s="1506">
        <f>ROUND(G24*0.9,9)</f>
        <v>0</v>
      </c>
      <c r="I24" s="1506">
        <f>ROUND(G24*1.1,0)</f>
        <v>0</v>
      </c>
      <c r="J24" s="1526"/>
      <c r="K24" s="1519">
        <f t="shared" si="0"/>
        <v>0</v>
      </c>
      <c r="L24" s="1519">
        <v>0</v>
      </c>
      <c r="M24" s="1519">
        <f t="shared" si="2"/>
        <v>0</v>
      </c>
      <c r="N24" s="1537" t="s">
        <v>2861</v>
      </c>
      <c r="O24" s="1521"/>
      <c r="S24" s="1512"/>
      <c r="U24" s="1522"/>
    </row>
    <row r="25" spans="1:21" ht="15.75" x14ac:dyDescent="0.25">
      <c r="A25" s="1477" t="s">
        <v>2418</v>
      </c>
      <c r="B25" s="1478" t="str">
        <f>VLOOKUP(A25,A.P.U!C:F,2,0)</f>
        <v>Entibado Metalico  Horizontal/Vertical Tipo 1</v>
      </c>
      <c r="C25" s="1479" t="str">
        <f>VLOOKUP(A25,A.P.U!C:F,3,0)</f>
        <v>M2</v>
      </c>
      <c r="D25" s="1484">
        <v>207</v>
      </c>
      <c r="E25" s="1524">
        <f>VLOOKUP(A25,A.P.U!$C:$K,6,0)+VLOOKUP(A25,A.P.U!$C:$K,8,0)+VLOOKUP(A25,A.P.U!$C:$K,9,0)</f>
        <v>23158.529085030626</v>
      </c>
      <c r="F25" s="1525">
        <f>A.P.U!I106</f>
        <v>25699.397943999997</v>
      </c>
      <c r="G25" s="1506"/>
      <c r="H25" s="1506">
        <f>ROUND(G25*0.9,9)</f>
        <v>0</v>
      </c>
      <c r="I25" s="1506">
        <f>ROUND(G25*1.1,0)</f>
        <v>0</v>
      </c>
      <c r="J25" s="1526"/>
      <c r="K25" s="1519"/>
      <c r="L25" s="1519"/>
      <c r="M25" s="1519"/>
      <c r="N25" s="1537"/>
      <c r="O25" s="1521"/>
      <c r="S25" s="1512"/>
      <c r="U25" s="1522"/>
    </row>
    <row r="26" spans="1:21" ht="15" customHeight="1" x14ac:dyDescent="0.25">
      <c r="A26" s="1693" t="s">
        <v>2717</v>
      </c>
      <c r="B26" s="1694"/>
      <c r="C26" s="1694"/>
      <c r="D26" s="1695"/>
      <c r="E26" s="1538"/>
      <c r="F26" s="1538"/>
      <c r="G26" s="1538"/>
      <c r="H26" s="1514"/>
      <c r="I26" s="1514"/>
      <c r="J26" s="1518"/>
      <c r="K26" s="1519">
        <f t="shared" ref="K26:K33" si="9">(D26*E26)</f>
        <v>0</v>
      </c>
      <c r="L26" s="1519">
        <f t="shared" si="1"/>
        <v>0</v>
      </c>
      <c r="M26" s="1519">
        <f t="shared" si="2"/>
        <v>0</v>
      </c>
      <c r="N26" s="1539"/>
      <c r="O26" s="1521"/>
      <c r="S26" s="1512"/>
      <c r="U26" s="1522"/>
    </row>
    <row r="27" spans="1:21" ht="31.5" x14ac:dyDescent="0.25">
      <c r="A27" s="1477" t="s">
        <v>2393</v>
      </c>
      <c r="B27" s="1478" t="str">
        <f>VLOOKUP(A27,A.P.U!C:F,2,0)</f>
        <v xml:space="preserve">Suministro e Instalación Tubería Pvc Corrugada 160 m.m. (6") para Alcantarillado.  Unión caucho (Según Norma NTC 3722 Y NTC5055)     </v>
      </c>
      <c r="C27" s="1479" t="str">
        <f>VLOOKUP(A27,A.P.U!C:F,3,0)</f>
        <v>m</v>
      </c>
      <c r="D27" s="1488">
        <f>ROUND('Cantidades de obra'!C51,0)</f>
        <v>1680</v>
      </c>
      <c r="E27" s="1524">
        <f>VLOOKUP(A27,A.P.U!$C:$K,6,0)+VLOOKUP(A27,A.P.U!$C:$K,8,0)+VLOOKUP(A27,A.P.U!$C:$K,9,0)</f>
        <v>7807.9329375000007</v>
      </c>
      <c r="F27" s="1525">
        <f>VLOOKUP(A27,A.P.U!$C:$K,7,0)</f>
        <v>27728.296000000002</v>
      </c>
      <c r="G27" s="1506"/>
      <c r="H27" s="1506">
        <f>ROUND(G27*0.9,0)</f>
        <v>0</v>
      </c>
      <c r="I27" s="1506">
        <f>ROUND(G27*1.1,0)</f>
        <v>0</v>
      </c>
      <c r="J27" s="1526"/>
      <c r="K27" s="1519">
        <f t="shared" si="9"/>
        <v>13117327.335000001</v>
      </c>
      <c r="L27" s="1519">
        <f>(G27*D27)</f>
        <v>0</v>
      </c>
      <c r="M27" s="1519">
        <f t="shared" si="2"/>
        <v>-13117327.335000001</v>
      </c>
      <c r="N27" s="1686">
        <v>7.1</v>
      </c>
      <c r="O27" s="1521">
        <f>+D27/D38</f>
        <v>6</v>
      </c>
      <c r="S27" s="1512"/>
      <c r="U27" s="1522"/>
    </row>
    <row r="28" spans="1:21" ht="31.5" x14ac:dyDescent="0.25">
      <c r="A28" s="1477" t="s">
        <v>2394</v>
      </c>
      <c r="B28" s="1478" t="str">
        <f>VLOOKUP(A28,A.P.U!C:F,2,0)</f>
        <v xml:space="preserve">Suministro e Instalación Tubería Pvc Corrugada 250 m.m. (10") para Alcantarillado   Unión caucho (Según Norma NTC 3722 Y NTC5055)          </v>
      </c>
      <c r="C28" s="1479" t="str">
        <f>VLOOKUP(A28,A.P.U!C:F,3,0)</f>
        <v>m</v>
      </c>
      <c r="D28" s="1488">
        <f>+'Cantidades de obra'!C52</f>
        <v>270</v>
      </c>
      <c r="E28" s="1524">
        <f>VLOOKUP(A28,A.P.U!$C:$K,6,0)+VLOOKUP(A28,A.P.U!$C:$K,8,0)+VLOOKUP(A28,A.P.U!$C:$K,9,0)</f>
        <v>8866.3368750000009</v>
      </c>
      <c r="F28" s="1525">
        <f>VLOOKUP(A28,A.P.U!$C:$K,7,0)</f>
        <v>54760.646000000001</v>
      </c>
      <c r="G28" s="1506"/>
      <c r="H28" s="1506">
        <f t="shared" ref="H28:H32" si="10">ROUND(G28*0.9,0)</f>
        <v>0</v>
      </c>
      <c r="I28" s="1506">
        <f t="shared" ref="I28:I32" si="11">ROUND(G28*1.1,0)</f>
        <v>0</v>
      </c>
      <c r="J28" s="1526"/>
      <c r="K28" s="1519"/>
      <c r="L28" s="1519"/>
      <c r="M28" s="1519"/>
      <c r="N28" s="1687"/>
      <c r="O28" s="1521"/>
      <c r="S28" s="1512"/>
      <c r="U28" s="1522"/>
    </row>
    <row r="29" spans="1:21" ht="31.5" x14ac:dyDescent="0.25">
      <c r="A29" s="1477" t="s">
        <v>2850</v>
      </c>
      <c r="B29" s="1478" t="str">
        <f>VLOOKUP(A29,A.P.U!C:F,2,0)</f>
        <v xml:space="preserve">Suministro e Instalación Tubería Pvc Corrugada 315 m.m. (12") para Alcantarillado   Unión caucho (Según Norma NTC 3722 Y NTC5055)          </v>
      </c>
      <c r="C29" s="1479" t="str">
        <f>VLOOKUP(A29,A.P.U!C:F,3,0)</f>
        <v>m</v>
      </c>
      <c r="D29" s="1488">
        <f>+'Cantidades de obra'!C53</f>
        <v>280</v>
      </c>
      <c r="E29" s="1524">
        <f>VLOOKUP(A29,A.P.U!$C:$K,6,0)+VLOOKUP(A29,A.P.U!$C:$K,8,0)+VLOOKUP(A29,A.P.U!$C:$K,9,0)</f>
        <v>8866.3368750000009</v>
      </c>
      <c r="F29" s="1525">
        <f>VLOOKUP(A29,A.P.U!$C:$K,7,0)</f>
        <v>80702.22600000001</v>
      </c>
      <c r="G29" s="1506"/>
      <c r="H29" s="1506">
        <f t="shared" si="10"/>
        <v>0</v>
      </c>
      <c r="I29" s="1506">
        <f t="shared" si="11"/>
        <v>0</v>
      </c>
      <c r="J29" s="1526"/>
      <c r="K29" s="1519"/>
      <c r="L29" s="1519"/>
      <c r="M29" s="1519"/>
      <c r="N29" s="1687"/>
      <c r="O29" s="1521"/>
      <c r="S29" s="1512"/>
      <c r="U29" s="1522"/>
    </row>
    <row r="30" spans="1:21" ht="31.5" x14ac:dyDescent="0.25">
      <c r="A30" s="1477" t="s">
        <v>2919</v>
      </c>
      <c r="B30" s="1478" t="str">
        <f>VLOOKUP(A30,A.P.U!C:F,2,0)</f>
        <v xml:space="preserve">Suministro e Instalación Tubería Pvc Corrugada 355 m.m. (14") para Alcantarillado   Unión caucho (Según Norma NTC 3722 Y NTC5055)          </v>
      </c>
      <c r="C30" s="1479" t="str">
        <f>VLOOKUP(A30,A.P.U!C:F,3,0)</f>
        <v>m</v>
      </c>
      <c r="D30" s="1488">
        <f>+'Cantidades de obra'!C54</f>
        <v>214</v>
      </c>
      <c r="E30" s="1524">
        <f>VLOOKUP(A30,A.P.U!$C:$K,6,0)+VLOOKUP(A30,A.P.U!$C:$K,8,0)+VLOOKUP(A30,A.P.U!$C:$K,9,0)</f>
        <v>8866.3368750000009</v>
      </c>
      <c r="F30" s="1525">
        <f>VLOOKUP(A30,A.P.U!$C:$K,7,0)</f>
        <v>99705.72600000001</v>
      </c>
      <c r="G30" s="1506"/>
      <c r="H30" s="1506">
        <f t="shared" si="10"/>
        <v>0</v>
      </c>
      <c r="I30" s="1506">
        <f t="shared" si="11"/>
        <v>0</v>
      </c>
      <c r="J30" s="1526"/>
      <c r="K30" s="1519"/>
      <c r="L30" s="1519"/>
      <c r="M30" s="1519"/>
      <c r="N30" s="1687"/>
      <c r="O30" s="1521"/>
      <c r="S30" s="1512"/>
      <c r="U30" s="1522"/>
    </row>
    <row r="31" spans="1:21" ht="31.5" x14ac:dyDescent="0.25">
      <c r="A31" s="1477" t="s">
        <v>2396</v>
      </c>
      <c r="B31" s="1478" t="str">
        <f>VLOOKUP(A31,A.P.U!C:F,2,0)</f>
        <v xml:space="preserve">Suministro e Instalación Tubería PVC Corrugada DE 625 m.m. (24") para Alcantarillado Unión caucho (Según Norma NTC 3722 Y NTC5055)       </v>
      </c>
      <c r="C31" s="1479" t="str">
        <f>VLOOKUP(A31,A.P.U!C:F,3,0)</f>
        <v>m</v>
      </c>
      <c r="D31" s="1488">
        <f>+'Cantidades de obra'!C58</f>
        <v>21</v>
      </c>
      <c r="E31" s="1524">
        <f>VLOOKUP(A31,A.P.U!$C:$K,6,0)+VLOOKUP(A31,A.P.U!$C:$K,8,0)+VLOOKUP(A31,A.P.U!$C:$K,9,0)</f>
        <v>28056.751562499998</v>
      </c>
      <c r="F31" s="1525">
        <f>VLOOKUP(A31,A.P.U!$C:$K,7,0)</f>
        <v>273372.05600000004</v>
      </c>
      <c r="G31" s="1506"/>
      <c r="H31" s="1506">
        <f t="shared" si="10"/>
        <v>0</v>
      </c>
      <c r="I31" s="1506">
        <f t="shared" si="11"/>
        <v>0</v>
      </c>
      <c r="J31" s="1526"/>
      <c r="K31" s="1519">
        <f t="shared" si="9"/>
        <v>589191.78281249991</v>
      </c>
      <c r="L31" s="1519">
        <f t="shared" si="1"/>
        <v>5740813.1760000009</v>
      </c>
      <c r="M31" s="1519">
        <f t="shared" si="2"/>
        <v>-589191.78281249991</v>
      </c>
      <c r="N31" s="1687"/>
      <c r="O31" s="1521"/>
      <c r="S31" s="1512"/>
      <c r="U31" s="1522"/>
    </row>
    <row r="32" spans="1:21" ht="31.5" x14ac:dyDescent="0.25">
      <c r="A32" s="1477" t="s">
        <v>2397</v>
      </c>
      <c r="B32" s="1478" t="str">
        <f>VLOOKUP(A32,A.P.U!C:F,2,0)</f>
        <v xml:space="preserve">Suministro e Instalación Tubería PVC Corrugada DE 710 m.m. (27") para Alcantarillado. Unión caucho (Según Norma NTC 3722 Y NTC5055)     </v>
      </c>
      <c r="C32" s="1479" t="str">
        <f>VLOOKUP(A32,A.P.U!C:F,3,0)</f>
        <v>m</v>
      </c>
      <c r="D32" s="1488">
        <f>ROUND('Cantidades de obra'!C59,0)</f>
        <v>124</v>
      </c>
      <c r="E32" s="1524">
        <f>VLOOKUP(A32,A.P.U!$C:$K,6,0)+VLOOKUP(A32,A.P.U!$C:$K,8,0)+VLOOKUP(A32,A.P.U!$C:$K,9,0)</f>
        <v>30401.603906249999</v>
      </c>
      <c r="F32" s="1525">
        <f>VLOOKUP(A32,A.P.U!$C:$K,7,0)</f>
        <v>392779.59599999996</v>
      </c>
      <c r="G32" s="1506"/>
      <c r="H32" s="1506">
        <f t="shared" si="10"/>
        <v>0</v>
      </c>
      <c r="I32" s="1506">
        <f t="shared" si="11"/>
        <v>0</v>
      </c>
      <c r="J32" s="1526"/>
      <c r="K32" s="1519">
        <f t="shared" si="9"/>
        <v>3769798.8843749999</v>
      </c>
      <c r="L32" s="1519">
        <f t="shared" si="1"/>
        <v>48704669.903999992</v>
      </c>
      <c r="M32" s="1519">
        <f t="shared" si="2"/>
        <v>-3769798.8843749999</v>
      </c>
      <c r="N32" s="1688"/>
      <c r="O32" s="1521">
        <f>SUM(D28:D32)</f>
        <v>909</v>
      </c>
      <c r="S32" s="1512"/>
      <c r="U32" s="1522"/>
    </row>
    <row r="33" spans="1:21" ht="15.75" customHeight="1" x14ac:dyDescent="0.25">
      <c r="A33" s="1693" t="s">
        <v>2718</v>
      </c>
      <c r="B33" s="1694"/>
      <c r="C33" s="1694"/>
      <c r="D33" s="1695"/>
      <c r="E33" s="1538"/>
      <c r="F33" s="1538"/>
      <c r="G33" s="1538"/>
      <c r="H33" s="1514"/>
      <c r="I33" s="1514"/>
      <c r="J33" s="1518"/>
      <c r="K33" s="1519">
        <f t="shared" si="9"/>
        <v>0</v>
      </c>
      <c r="L33" s="1519">
        <f t="shared" si="1"/>
        <v>0</v>
      </c>
      <c r="M33" s="1519">
        <f t="shared" si="2"/>
        <v>0</v>
      </c>
      <c r="N33" s="1539"/>
      <c r="O33" s="1521"/>
      <c r="S33" s="1512"/>
      <c r="U33" s="1522"/>
    </row>
    <row r="34" spans="1:21" ht="15.75" x14ac:dyDescent="0.25">
      <c r="A34" s="1477" t="s">
        <v>2403</v>
      </c>
      <c r="B34" s="1478" t="str">
        <f>VLOOKUP(A34,A.P.U!C:F,2,0)</f>
        <v xml:space="preserve">Cámara Circular de Inspección/Caída D=1.20 m. en Concreto 21 Mpa        </v>
      </c>
      <c r="C34" s="1479" t="str">
        <f>VLOOKUP(A34,A.P.U!C:F,3,0)</f>
        <v>Ml</v>
      </c>
      <c r="D34" s="1484">
        <f>ROUND('Cantidades de obra'!N82,0)</f>
        <v>64</v>
      </c>
      <c r="E34" s="1524">
        <f>VLOOKUP(A34,A.P.U!$C:$K,6,0)+VLOOKUP(A34,A.P.U!$C:$K,8,0)+VLOOKUP(A34,A.P.U!$C:$K,9,0)</f>
        <v>103777.85411098877</v>
      </c>
      <c r="F34" s="1525">
        <f>VLOOKUP(A34,A.P.U!$C:$K,7,0)</f>
        <v>260107.12024270053</v>
      </c>
      <c r="G34" s="1506"/>
      <c r="H34" s="1506">
        <f>ROUND(G34*0.9,0)</f>
        <v>0</v>
      </c>
      <c r="I34" s="1506">
        <f>ROUND(G34*1.1,0)</f>
        <v>0</v>
      </c>
      <c r="J34" s="1526"/>
      <c r="K34" s="1519">
        <f>(D34*G34)</f>
        <v>0</v>
      </c>
      <c r="L34" s="1519">
        <v>0</v>
      </c>
      <c r="M34" s="1519">
        <f t="shared" si="2"/>
        <v>0</v>
      </c>
      <c r="N34" s="1540">
        <v>8.1</v>
      </c>
      <c r="O34" s="1521"/>
      <c r="S34" s="1512"/>
      <c r="U34" s="1522"/>
    </row>
    <row r="35" spans="1:21" ht="15.75" x14ac:dyDescent="0.25">
      <c r="A35" s="1477" t="s">
        <v>2412</v>
      </c>
      <c r="B35" s="1478" t="str">
        <f>VLOOKUP(A35,A.P.U!C:F,2,0)</f>
        <v>Sumidero Doble Reja tipo Sifón en Concreto 21 Mpa-Tapa HF</v>
      </c>
      <c r="C35" s="1479" t="str">
        <f>VLOOKUP(A35,A.P.U!C:F,3,0)</f>
        <v>Un</v>
      </c>
      <c r="D35" s="1484">
        <v>10</v>
      </c>
      <c r="E35" s="1524">
        <f>VLOOKUP(A35,A.P.U!$C:$K,6,0)+VLOOKUP(A35,A.P.U!$C:$K,8,0)+VLOOKUP(A35,A.P.U!$C:$K,9,0)</f>
        <v>142892.32253604001</v>
      </c>
      <c r="F35" s="1525">
        <f>VLOOKUP(A35,A.P.U!$C:$K,7,0)</f>
        <v>944149.118625</v>
      </c>
      <c r="G35" s="1506"/>
      <c r="H35" s="1506">
        <f t="shared" ref="H35:H41" si="12">ROUND(G35*0.9,0)</f>
        <v>0</v>
      </c>
      <c r="I35" s="1506">
        <f t="shared" ref="I35:I41" si="13">ROUND(G35*1.1,0)</f>
        <v>0</v>
      </c>
      <c r="J35" s="1526"/>
      <c r="K35" s="1519">
        <f t="shared" ref="K35:K38" si="14">(D35*G35)</f>
        <v>0</v>
      </c>
      <c r="L35" s="1519">
        <v>0</v>
      </c>
      <c r="M35" s="1519">
        <f t="shared" si="2"/>
        <v>0</v>
      </c>
      <c r="N35" s="1540">
        <v>8.6999999999999993</v>
      </c>
      <c r="O35" s="1521"/>
      <c r="S35" s="1512"/>
      <c r="U35" s="1522"/>
    </row>
    <row r="36" spans="1:21" ht="15.75" x14ac:dyDescent="0.25">
      <c r="A36" s="1477" t="s">
        <v>2405</v>
      </c>
      <c r="B36" s="1478" t="str">
        <f>VLOOKUP(A36,A.P.U!C:F,2,0)</f>
        <v xml:space="preserve">Base-Cañuela Cámara Circular Inspec D=1.20 m en Concreto 21 Mpa                      </v>
      </c>
      <c r="C36" s="1479" t="str">
        <f>VLOOKUP(A36,A.P.U!C:F,3,0)</f>
        <v>Un</v>
      </c>
      <c r="D36" s="1484">
        <f>+'Cantidades de obra'!AK5</f>
        <v>38</v>
      </c>
      <c r="E36" s="1524">
        <f>VLOOKUP(A36,A.P.U!$C:$K,6,0)+VLOOKUP(A36,A.P.U!$C:$K,8,0)+VLOOKUP(A36,A.P.U!$C:$K,9,0)</f>
        <v>114808.72493890804</v>
      </c>
      <c r="F36" s="1525">
        <f>VLOOKUP(A36,A.P.U!$C:$K,7,0)</f>
        <v>194503.38053696553</v>
      </c>
      <c r="G36" s="1506"/>
      <c r="H36" s="1506">
        <f t="shared" si="12"/>
        <v>0</v>
      </c>
      <c r="I36" s="1506">
        <f t="shared" si="13"/>
        <v>0</v>
      </c>
      <c r="J36" s="1526"/>
      <c r="K36" s="1519">
        <f t="shared" si="14"/>
        <v>0</v>
      </c>
      <c r="L36" s="1519">
        <v>0</v>
      </c>
      <c r="M36" s="1519">
        <f t="shared" si="2"/>
        <v>0</v>
      </c>
      <c r="N36" s="1540">
        <v>8.8000000000000007</v>
      </c>
      <c r="O36" s="1521"/>
      <c r="S36" s="1512"/>
      <c r="U36" s="1522"/>
    </row>
    <row r="37" spans="1:21" ht="15.75" x14ac:dyDescent="0.25">
      <c r="A37" s="1477" t="s">
        <v>2407</v>
      </c>
      <c r="B37" s="1478" t="str">
        <f>VLOOKUP(A37,A.P.U!C:F,2,0)</f>
        <v xml:space="preserve">Tapa HF D=0.60 m. p/Cámara de Inspección              </v>
      </c>
      <c r="C37" s="1479" t="str">
        <f>VLOOKUP(A37,A.P.U!C:F,3,0)</f>
        <v>Un</v>
      </c>
      <c r="D37" s="1484">
        <f>+D36</f>
        <v>38</v>
      </c>
      <c r="E37" s="1524">
        <f>VLOOKUP(A37,A.P.U!$C:$K,6,0)+VLOOKUP(A37,A.P.U!$C:$K,8,0)+VLOOKUP(A37,A.P.U!$C:$K,9,0)</f>
        <v>31054.857906187503</v>
      </c>
      <c r="F37" s="1525">
        <f>VLOOKUP(A37,A.P.U!$C:$K,7,0)</f>
        <v>222407.49300000005</v>
      </c>
      <c r="G37" s="1506"/>
      <c r="H37" s="1506">
        <f t="shared" si="12"/>
        <v>0</v>
      </c>
      <c r="I37" s="1506">
        <f t="shared" si="13"/>
        <v>0</v>
      </c>
      <c r="J37" s="1526"/>
      <c r="K37" s="1519">
        <f t="shared" si="14"/>
        <v>0</v>
      </c>
      <c r="L37" s="1519">
        <v>0</v>
      </c>
      <c r="M37" s="1519">
        <f t="shared" si="2"/>
        <v>0</v>
      </c>
      <c r="N37" s="1540">
        <v>8.6</v>
      </c>
      <c r="O37" s="1521"/>
      <c r="S37" s="1512"/>
      <c r="U37" s="1522"/>
    </row>
    <row r="38" spans="1:21" ht="15.75" x14ac:dyDescent="0.25">
      <c r="A38" s="1477" t="s">
        <v>2409</v>
      </c>
      <c r="B38" s="1478" t="str">
        <f>VLOOKUP(A38,A.P.U!C:F,2,0)</f>
        <v xml:space="preserve">Caja de Inspección Empalme domiciliario  (0,50x0,50 m) en Concreto 21 Mpa            </v>
      </c>
      <c r="C38" s="1479" t="str">
        <f>VLOOKUP(A38,A.P.U!C:F,3,0)</f>
        <v>UN</v>
      </c>
      <c r="D38" s="1484">
        <f>'Cantidades de obra'!AD48</f>
        <v>280</v>
      </c>
      <c r="E38" s="1524">
        <f>VLOOKUP(A38,A.P.U!$C:$K,6,0)+VLOOKUP(A38,A.P.U!$C:$K,8,0)+VLOOKUP(A38,A.P.U!$C:$K,9,0)</f>
        <v>120487.58474156252</v>
      </c>
      <c r="F38" s="1525">
        <f>VLOOKUP(A38,A.P.U!$C:$K,7,0)</f>
        <v>77527.265715900008</v>
      </c>
      <c r="G38" s="1506"/>
      <c r="H38" s="1506">
        <f t="shared" si="12"/>
        <v>0</v>
      </c>
      <c r="I38" s="1506">
        <f t="shared" si="13"/>
        <v>0</v>
      </c>
      <c r="J38" s="1526"/>
      <c r="K38" s="1519">
        <f t="shared" si="14"/>
        <v>0</v>
      </c>
      <c r="L38" s="1519">
        <v>0</v>
      </c>
      <c r="M38" s="1519">
        <f t="shared" si="2"/>
        <v>0</v>
      </c>
      <c r="N38" s="1540">
        <v>8.5</v>
      </c>
      <c r="O38" s="1521"/>
      <c r="S38" s="1512"/>
      <c r="U38" s="1522"/>
    </row>
    <row r="39" spans="1:21" s="1534" customFormat="1" ht="31.5" x14ac:dyDescent="0.25">
      <c r="A39" s="1489" t="s">
        <v>2627</v>
      </c>
      <c r="B39" s="1486" t="str">
        <f>VLOOKUP(A39,A.P.U!C:F,2,0)</f>
        <v xml:space="preserve">Suministro e instalación Kit Silla Y - Empalme para Pvc Corrugada de 250 x 160 m.m. (Suministro/Instalación)                       </v>
      </c>
      <c r="C39" s="1487" t="str">
        <f>VLOOKUP(A39,A.P.U!C:F,3,0)</f>
        <v>Un</v>
      </c>
      <c r="D39" s="1488">
        <f>+'Cantidades de obra'!L100</f>
        <v>81</v>
      </c>
      <c r="E39" s="1528">
        <f>VLOOKUP(A39,A.P.U!$C:$K,6,0)+VLOOKUP(A39,A.P.U!$C:$K,8,0)+VLOOKUP(A39,A.P.U!$C:$K,9,0)</f>
        <v>43357.020249896719</v>
      </c>
      <c r="F39" s="1529">
        <f>VLOOKUP(A39,A.P.U!$C:$K,7,0)</f>
        <v>202716.87378731256</v>
      </c>
      <c r="G39" s="1530"/>
      <c r="H39" s="1506">
        <f t="shared" si="12"/>
        <v>0</v>
      </c>
      <c r="I39" s="1506">
        <f t="shared" si="13"/>
        <v>0</v>
      </c>
      <c r="J39" s="1531"/>
      <c r="K39" s="1532"/>
      <c r="L39" s="1532"/>
      <c r="M39" s="1532"/>
      <c r="N39" s="1686">
        <v>8.8000000000000007</v>
      </c>
      <c r="O39" s="1533"/>
      <c r="S39" s="1512"/>
      <c r="U39" s="1535"/>
    </row>
    <row r="40" spans="1:21" s="1534" customFormat="1" ht="31.5" x14ac:dyDescent="0.25">
      <c r="A40" s="1489" t="s">
        <v>2400</v>
      </c>
      <c r="B40" s="1486" t="str">
        <f>VLOOKUP(A40,A.P.U!C:F,2,0)</f>
        <v xml:space="preserve">Suministro e instalación Kit Silla Y - Empalme para Pvc Corrugada de 315 mm x 160 m.m. (Suministro/Instalación)                                         </v>
      </c>
      <c r="C40" s="1487" t="str">
        <f>VLOOKUP(A40,A.P.U!C:F,3,0)</f>
        <v>Un</v>
      </c>
      <c r="D40" s="1488">
        <f>+'Cantidades de obra'!L101</f>
        <v>112</v>
      </c>
      <c r="E40" s="1528">
        <f>VLOOKUP(A40,A.P.U!$C:$K,6,0)+VLOOKUP(A40,A.P.U!$C:$K,8,0)+VLOOKUP(A40,A.P.U!$C:$K,9,0)</f>
        <v>50313.41530200564</v>
      </c>
      <c r="F40" s="1529">
        <f>VLOOKUP(A40,A.P.U!$C:$K,7,0)</f>
        <v>220246.07773245004</v>
      </c>
      <c r="G40" s="1530"/>
      <c r="H40" s="1506">
        <f t="shared" si="12"/>
        <v>0</v>
      </c>
      <c r="I40" s="1506">
        <f t="shared" si="13"/>
        <v>0</v>
      </c>
      <c r="J40" s="1531"/>
      <c r="K40" s="1532"/>
      <c r="L40" s="1532"/>
      <c r="M40" s="1532"/>
      <c r="N40" s="1687"/>
      <c r="O40" s="1533"/>
      <c r="S40" s="1512"/>
      <c r="U40" s="1535"/>
    </row>
    <row r="41" spans="1:21" s="1534" customFormat="1" ht="31.5" x14ac:dyDescent="0.25">
      <c r="A41" s="1485" t="s">
        <v>2399</v>
      </c>
      <c r="B41" s="1486" t="str">
        <f>VLOOKUP(A41,A.P.U!C:F,2,0)</f>
        <v xml:space="preserve">Suministro e instalación Kit Silla Y - Empalme para Pvc Corrugada de 355 x 160 m.m. (Suministro/Instalación)                                         </v>
      </c>
      <c r="C41" s="1487" t="str">
        <f>VLOOKUP(A41,A.P.U!C:F,3,0)</f>
        <v>Un</v>
      </c>
      <c r="D41" s="1488">
        <f>+'Cantidades de obra'!L102</f>
        <v>87</v>
      </c>
      <c r="E41" s="1528">
        <f>VLOOKUP(A41,A.P.U!$C:$K,6,0)+VLOOKUP(A41,A.P.U!$C:$K,8,0)+VLOOKUP(A41,A.P.U!$C:$K,9,0)</f>
        <v>50313.41530200564</v>
      </c>
      <c r="F41" s="1529">
        <f>VLOOKUP(A41,A.P.U!$C:$K,7,0)</f>
        <v>312206.54055140557</v>
      </c>
      <c r="G41" s="1530"/>
      <c r="H41" s="1506">
        <f t="shared" si="12"/>
        <v>0</v>
      </c>
      <c r="I41" s="1506">
        <f t="shared" si="13"/>
        <v>0</v>
      </c>
      <c r="J41" s="1531"/>
      <c r="K41" s="1532">
        <f>(D41*E41)</f>
        <v>4377267.1312744906</v>
      </c>
      <c r="L41" s="1532">
        <f>(F41*D41)</f>
        <v>27161969.027972285</v>
      </c>
      <c r="M41" s="1532">
        <f>+J41-K41</f>
        <v>-4377267.1312744906</v>
      </c>
      <c r="N41" s="1688"/>
      <c r="O41" s="1541"/>
      <c r="S41" s="1512"/>
      <c r="U41" s="1535"/>
    </row>
    <row r="42" spans="1:21" ht="30.75" customHeight="1" x14ac:dyDescent="0.25">
      <c r="A42" s="1490"/>
      <c r="B42" s="1491" t="s">
        <v>2719</v>
      </c>
      <c r="C42" s="1491"/>
      <c r="D42" s="1491"/>
      <c r="E42" s="1542"/>
      <c r="F42" s="1542"/>
      <c r="G42" s="1542"/>
      <c r="H42" s="1542"/>
      <c r="I42" s="1542"/>
      <c r="J42" s="1543"/>
      <c r="K42" s="1519">
        <f t="shared" ref="K42:K44" si="15">(D42*E42)</f>
        <v>0</v>
      </c>
      <c r="L42" s="1519">
        <f t="shared" ref="L42:L52" si="16">(F42*D42)</f>
        <v>0</v>
      </c>
      <c r="M42" s="1519">
        <f t="shared" ref="M42:M53" si="17">+J42-K42</f>
        <v>0</v>
      </c>
      <c r="N42" s="1539"/>
      <c r="O42" s="1521"/>
      <c r="S42" s="1512"/>
      <c r="U42" s="1522"/>
    </row>
    <row r="43" spans="1:21" ht="31.5" x14ac:dyDescent="0.25">
      <c r="A43" s="1477" t="s">
        <v>2103</v>
      </c>
      <c r="B43" s="1478" t="str">
        <f>VLOOKUP(A43,A.P.U!C:F,2,0)</f>
        <v>Suministros, Transporte e Instalacion Subbase p/Pavimentos en Material Granular Seleccionado compactado (e=0.25 m)</v>
      </c>
      <c r="C43" s="1479" t="str">
        <f>VLOOKUP(A43,A.P.U!C:F,3,0)</f>
        <v>M3</v>
      </c>
      <c r="D43" s="1484">
        <f>ROUND('Cantidades de obra'!N88+'cant acued'!I20,2)</f>
        <v>333.33</v>
      </c>
      <c r="E43" s="1505">
        <f>VLOOKUP(A43,A.P.U!$C:$K,6,0)+VLOOKUP(A43,A.P.U!$C:$K,8,0)+VLOOKUP(A43,A.P.U!$C:$K,9,0)</f>
        <v>20204.5592</v>
      </c>
      <c r="F43" s="1505">
        <f>VLOOKUP(A43,A.P.U!$C:$K,7,0)</f>
        <v>53560</v>
      </c>
      <c r="G43" s="1506"/>
      <c r="H43" s="1506">
        <f>ROUND(G43*0.9,0)</f>
        <v>0</v>
      </c>
      <c r="I43" s="1506">
        <f>ROUND(G43*1.1,0)</f>
        <v>0</v>
      </c>
      <c r="J43" s="1526"/>
      <c r="K43" s="1519">
        <f>(D43*G43)</f>
        <v>0</v>
      </c>
      <c r="L43" s="1519">
        <v>0</v>
      </c>
      <c r="M43" s="1519">
        <f t="shared" si="17"/>
        <v>0</v>
      </c>
      <c r="N43" s="1537" t="s">
        <v>2933</v>
      </c>
      <c r="O43" s="1521"/>
      <c r="S43" s="1512"/>
      <c r="U43" s="1522"/>
    </row>
    <row r="44" spans="1:21" ht="18" customHeight="1" x14ac:dyDescent="0.25">
      <c r="A44" s="1481"/>
      <c r="B44" s="1482" t="s">
        <v>2089</v>
      </c>
      <c r="C44" s="1482"/>
      <c r="D44" s="1483"/>
      <c r="E44" s="1515"/>
      <c r="F44" s="1516"/>
      <c r="G44" s="1517"/>
      <c r="H44" s="1517"/>
      <c r="I44" s="1517"/>
      <c r="J44" s="1518"/>
      <c r="K44" s="1519">
        <f t="shared" si="15"/>
        <v>0</v>
      </c>
      <c r="L44" s="1519">
        <f t="shared" si="16"/>
        <v>0</v>
      </c>
      <c r="M44" s="1519">
        <f t="shared" si="17"/>
        <v>0</v>
      </c>
      <c r="N44" s="1520"/>
      <c r="O44" s="1521"/>
      <c r="S44" s="1512"/>
      <c r="U44" s="1522"/>
    </row>
    <row r="45" spans="1:21" ht="15.75" x14ac:dyDescent="0.25">
      <c r="A45" s="1477" t="s">
        <v>2107</v>
      </c>
      <c r="B45" s="1478" t="str">
        <f>VLOOKUP(A45,A.P.U!C:F,2,0)</f>
        <v xml:space="preserve">Pavimentos completos en concreto producido en obra  Mr= 42 Kg/cm2, (e=0.18 m)      </v>
      </c>
      <c r="C45" s="1479" t="str">
        <f>VLOOKUP(A45,A.P.U!C:F,3,0)</f>
        <v>M3</v>
      </c>
      <c r="D45" s="1484">
        <f>ROUND('Cantidades de obra'!H92,2)</f>
        <v>280.07</v>
      </c>
      <c r="E45" s="1505">
        <f>VLOOKUP(A45,A.P.U!$C:$K,6,0)+VLOOKUP(A45,A.P.U!$C:$K,8,0)+VLOOKUP(A45,A.P.U!$C:$K,9,0)</f>
        <v>132853.48850000001</v>
      </c>
      <c r="F45" s="1505">
        <f>VLOOKUP(A45,A.P.U!$C:$K,7,0)</f>
        <v>359748.70999999996</v>
      </c>
      <c r="G45" s="1506"/>
      <c r="H45" s="1506">
        <f>ROUND(G45*0.9,0)</f>
        <v>0</v>
      </c>
      <c r="I45" s="1506">
        <f>ROUND(G45*1.1,0)</f>
        <v>0</v>
      </c>
      <c r="J45" s="1526"/>
      <c r="K45" s="1519">
        <f>(D45*G45)</f>
        <v>0</v>
      </c>
      <c r="L45" s="1519">
        <v>0</v>
      </c>
      <c r="M45" s="1519">
        <f t="shared" si="17"/>
        <v>0</v>
      </c>
      <c r="N45" s="1540">
        <v>9.1</v>
      </c>
      <c r="O45" s="1521"/>
      <c r="S45" s="1512"/>
      <c r="U45" s="1522"/>
    </row>
    <row r="46" spans="1:21" ht="15.75" x14ac:dyDescent="0.25">
      <c r="A46" s="1477" t="s">
        <v>2108</v>
      </c>
      <c r="B46" s="1478" t="str">
        <f>VLOOKUP(A46,A.P.U!C:F,2,0)</f>
        <v xml:space="preserve">Andenes/Rampas/Peatonales en Concreto Premezclado (21 Mpa)                    </v>
      </c>
      <c r="C46" s="1479" t="str">
        <f>VLOOKUP(A46,A.P.U!C:F,3,0)</f>
        <v>M3</v>
      </c>
      <c r="D46" s="1484">
        <f>ROUND('Cantidades de obra'!H94,2)</f>
        <v>19.7</v>
      </c>
      <c r="E46" s="1505">
        <f>VLOOKUP(A46,A.P.U!$C:$K,6,0)+VLOOKUP(A46,A.P.U!$C:$K,8,0)+VLOOKUP(A46,A.P.U!$C:$K,9,0)</f>
        <v>88567.544750000001</v>
      </c>
      <c r="F46" s="1505">
        <f>VLOOKUP(A46,A.P.U!$C:$K,7,0)</f>
        <v>295063.54668000003</v>
      </c>
      <c r="G46" s="1506"/>
      <c r="H46" s="1506">
        <f t="shared" ref="H46:H51" si="18">ROUND(G46*0.9,0)</f>
        <v>0</v>
      </c>
      <c r="I46" s="1506">
        <f t="shared" ref="I46:I51" si="19">ROUND(G46*1.1,0)</f>
        <v>0</v>
      </c>
      <c r="J46" s="1526"/>
      <c r="K46" s="1519">
        <f t="shared" ref="K46:K53" si="20">(D46*G46)</f>
        <v>0</v>
      </c>
      <c r="L46" s="1519">
        <v>0</v>
      </c>
      <c r="M46" s="1519">
        <f t="shared" si="17"/>
        <v>0</v>
      </c>
      <c r="N46" s="1540">
        <v>9.15</v>
      </c>
      <c r="O46" s="1521"/>
      <c r="S46" s="1512"/>
      <c r="U46" s="1522"/>
    </row>
    <row r="47" spans="1:21" ht="15.75" x14ac:dyDescent="0.25">
      <c r="A47" s="1477" t="s">
        <v>2109</v>
      </c>
      <c r="B47" s="1478" t="str">
        <f>VLOOKUP(A47,A.P.U!C:F,2,0)</f>
        <v xml:space="preserve">Corte mecanizado de Pavimentos de Concreto Hidráulico        (0.07 m.)                                </v>
      </c>
      <c r="C47" s="1479" t="str">
        <f>VLOOKUP(A47,A.P.U!C:F,3,0)</f>
        <v>Ml</v>
      </c>
      <c r="D47" s="1484">
        <f>D48</f>
        <v>1191</v>
      </c>
      <c r="E47" s="1505">
        <f>VLOOKUP(A47,A.P.U!$C:$K,6,0)+VLOOKUP(A47,A.P.U!$C:$K,8,0)+VLOOKUP(A47,A.P.U!$C:$K,9,0)</f>
        <v>4487.7922499999995</v>
      </c>
      <c r="F47" s="1505">
        <f>VLOOKUP(A47,A.P.U!$C:$K,7,0)</f>
        <v>164.79999999999998</v>
      </c>
      <c r="G47" s="1506"/>
      <c r="H47" s="1506">
        <f t="shared" si="18"/>
        <v>0</v>
      </c>
      <c r="I47" s="1506">
        <f t="shared" si="19"/>
        <v>0</v>
      </c>
      <c r="J47" s="1526"/>
      <c r="K47" s="1519">
        <f t="shared" si="20"/>
        <v>0</v>
      </c>
      <c r="L47" s="1519">
        <v>0</v>
      </c>
      <c r="M47" s="1519">
        <f t="shared" si="17"/>
        <v>0</v>
      </c>
      <c r="N47" s="1540">
        <v>9.1199999999999992</v>
      </c>
      <c r="O47" s="1521"/>
      <c r="S47" s="1512"/>
      <c r="U47" s="1522"/>
    </row>
    <row r="48" spans="1:21" ht="15.75" x14ac:dyDescent="0.25">
      <c r="A48" s="1477" t="s">
        <v>2122</v>
      </c>
      <c r="B48" s="1478" t="str">
        <f>VLOOKUP(A48,A.P.U!C:F,2,0)</f>
        <v xml:space="preserve">Sellado de Juntas de Pavimentos de Concreto Hidráulico            (0.005 m)                        </v>
      </c>
      <c r="C48" s="1479" t="str">
        <f>VLOOKUP(A48,A.P.U!C:F,3,0)</f>
        <v>Ml</v>
      </c>
      <c r="D48" s="1488">
        <f>ROUND('Cantidades de obra'!AM48+'Cantidades de obra'!AN48,0)</f>
        <v>1191</v>
      </c>
      <c r="E48" s="1505">
        <f>VLOOKUP(A48,A.P.U!$C:$K,6,0)+VLOOKUP(A48,A.P.U!$C:$K,8,0)+VLOOKUP(A48,A.P.U!$C:$K,9,0)</f>
        <v>1534.5046125000001</v>
      </c>
      <c r="F48" s="1505">
        <f>VLOOKUP(A48,A.P.U!$C:$K,7,0)</f>
        <v>1659.7</v>
      </c>
      <c r="G48" s="1506"/>
      <c r="H48" s="1506">
        <f t="shared" si="18"/>
        <v>0</v>
      </c>
      <c r="I48" s="1506">
        <f t="shared" si="19"/>
        <v>0</v>
      </c>
      <c r="J48" s="1526"/>
      <c r="K48" s="1519">
        <f t="shared" si="20"/>
        <v>0</v>
      </c>
      <c r="L48" s="1519">
        <v>0</v>
      </c>
      <c r="M48" s="1519">
        <f t="shared" si="17"/>
        <v>0</v>
      </c>
      <c r="N48" s="1540">
        <v>9.1300000000000008</v>
      </c>
      <c r="O48" s="1521"/>
      <c r="S48" s="1512"/>
      <c r="U48" s="1522"/>
    </row>
    <row r="49" spans="1:21" ht="15.75" hidden="1" x14ac:dyDescent="0.25">
      <c r="A49" s="1477"/>
      <c r="B49" s="1478" t="e">
        <f>VLOOKUP(A49,A.P.U!C:F,2,0)</f>
        <v>#N/A</v>
      </c>
      <c r="C49" s="1479"/>
      <c r="D49" s="1484"/>
      <c r="E49" s="1524"/>
      <c r="F49" s="1525"/>
      <c r="G49" s="1525"/>
      <c r="H49" s="1506">
        <f t="shared" si="18"/>
        <v>0</v>
      </c>
      <c r="I49" s="1506">
        <f t="shared" si="19"/>
        <v>0</v>
      </c>
      <c r="J49" s="1526"/>
      <c r="K49" s="1519">
        <f t="shared" si="20"/>
        <v>0</v>
      </c>
      <c r="L49" s="1519">
        <v>0</v>
      </c>
      <c r="M49" s="1519">
        <f t="shared" si="17"/>
        <v>0</v>
      </c>
      <c r="N49" s="1540"/>
      <c r="O49" s="1521"/>
      <c r="S49" s="1512"/>
      <c r="U49" s="1522"/>
    </row>
    <row r="50" spans="1:21" ht="15.75" x14ac:dyDescent="0.25">
      <c r="A50" s="1477" t="s">
        <v>2421</v>
      </c>
      <c r="B50" s="1478" t="str">
        <f>VLOOKUP(A50,A.P.U!C:F,2,0)</f>
        <v>Adecuacion de andenes y Rampas</v>
      </c>
      <c r="C50" s="1479" t="str">
        <f>VLOOKUP(A50,A.P.U!C:F,3,0)</f>
        <v>M2</v>
      </c>
      <c r="D50" s="1488">
        <f>D38</f>
        <v>280</v>
      </c>
      <c r="E50" s="1505">
        <f>VLOOKUP(A50,A.P.U!$C:$K,6,0)+VLOOKUP(A50,A.P.U!$C:$K,8,0)+VLOOKUP(A50,A.P.U!$C:$K,9,0)</f>
        <v>20854.6796875</v>
      </c>
      <c r="F50" s="1505">
        <f>VLOOKUP(A50,A.P.U!$C:$K,7,0)</f>
        <v>15220.1</v>
      </c>
      <c r="G50" s="1506"/>
      <c r="H50" s="1506">
        <f t="shared" si="18"/>
        <v>0</v>
      </c>
      <c r="I50" s="1506">
        <f t="shared" si="19"/>
        <v>0</v>
      </c>
      <c r="J50" s="1526"/>
      <c r="K50" s="1519">
        <f>(D50*G50)</f>
        <v>0</v>
      </c>
      <c r="L50" s="1519">
        <v>0</v>
      </c>
      <c r="M50" s="1519">
        <f>+J50-K50</f>
        <v>0</v>
      </c>
      <c r="N50" s="1540">
        <v>9.15</v>
      </c>
      <c r="O50" s="1521"/>
      <c r="S50" s="1512"/>
      <c r="U50" s="1522"/>
    </row>
    <row r="51" spans="1:21" ht="37.5" customHeight="1" x14ac:dyDescent="0.2">
      <c r="A51" s="1477">
        <v>11.6</v>
      </c>
      <c r="B51" s="1478" t="str">
        <f>VLOOKUP(A51,A.P.U!C:F,2,0)</f>
        <v>Suministro, Transporte e Instalación Caja para aliviadero en concreto reforzado de 21 Mpa (3.35m x1.6 m *2.15m y un espesor de 0.15m para muros y losa)</v>
      </c>
      <c r="C51" s="1479" t="str">
        <f>VLOOKUP(A51,A.P.U!C:F,3,0)</f>
        <v>Un</v>
      </c>
      <c r="D51" s="1492">
        <v>1</v>
      </c>
      <c r="E51" s="1505">
        <f>VLOOKUP(A51,A.P.U!$C:$K,6,0)+VLOOKUP(A51,A.P.U!$C:$K,8,0)+VLOOKUP(A51,A.P.U!$C:$K,9,0)</f>
        <v>6121827.1798479995</v>
      </c>
      <c r="F51" s="1505">
        <f>VLOOKUP(A51,A.P.U!$C:$K,7,0)</f>
        <v>3368101.6031250004</v>
      </c>
      <c r="G51" s="1506"/>
      <c r="H51" s="1506">
        <f t="shared" si="18"/>
        <v>0</v>
      </c>
      <c r="I51" s="1506">
        <f t="shared" si="19"/>
        <v>0</v>
      </c>
      <c r="J51" s="1507"/>
      <c r="K51" s="1494"/>
      <c r="L51" s="1494"/>
      <c r="M51" s="1494"/>
      <c r="N51" s="1540">
        <v>10.3</v>
      </c>
      <c r="S51" s="1512"/>
    </row>
    <row r="52" spans="1:21" ht="15.75" x14ac:dyDescent="0.2">
      <c r="A52" s="1481"/>
      <c r="B52" s="1490" t="s">
        <v>2720</v>
      </c>
      <c r="C52" s="1490"/>
      <c r="D52" s="1490"/>
      <c r="E52" s="1538"/>
      <c r="F52" s="1538"/>
      <c r="G52" s="1538"/>
      <c r="H52" s="1538"/>
      <c r="I52" s="1538"/>
      <c r="J52" s="1538"/>
      <c r="K52" s="1519">
        <f t="shared" si="20"/>
        <v>0</v>
      </c>
      <c r="L52" s="1519">
        <f t="shared" si="16"/>
        <v>0</v>
      </c>
      <c r="M52" s="1519">
        <f t="shared" si="17"/>
        <v>0</v>
      </c>
      <c r="N52" s="1520"/>
      <c r="O52" s="1521"/>
      <c r="S52" s="1512"/>
      <c r="U52" s="1522"/>
    </row>
    <row r="53" spans="1:21" ht="15.75" x14ac:dyDescent="0.25">
      <c r="A53" s="1477">
        <v>13</v>
      </c>
      <c r="B53" s="1478" t="str">
        <f>VLOOKUP(A53,A.P.U!C:F,2,0)</f>
        <v xml:space="preserve">Acero de Refuerzo 60,000 PSI </v>
      </c>
      <c r="C53" s="1479" t="s">
        <v>2253</v>
      </c>
      <c r="D53" s="1488">
        <f>'Cantidades de obra'!N94</f>
        <v>1124.55</v>
      </c>
      <c r="E53" s="1505">
        <f>VLOOKUP(A53,A.P.U!$C:$K,6,0)+VLOOKUP(A53,A.P.U!$C:$K,8,0)+VLOOKUP(A53,A.P.U!$C:$K,9,0)</f>
        <v>402.98906249999999</v>
      </c>
      <c r="F53" s="1505">
        <f>VLOOKUP(A53,A.P.U!$C:$K,7,0)</f>
        <v>2884</v>
      </c>
      <c r="G53" s="1506"/>
      <c r="H53" s="1506">
        <f>ROUND(G53*0.9,0)</f>
        <v>0</v>
      </c>
      <c r="I53" s="1506">
        <f>ROUND(G53*1.1,0)</f>
        <v>0</v>
      </c>
      <c r="J53" s="1526"/>
      <c r="K53" s="1519">
        <f t="shared" si="20"/>
        <v>0</v>
      </c>
      <c r="L53" s="1519">
        <v>0</v>
      </c>
      <c r="M53" s="1519">
        <f t="shared" si="17"/>
        <v>0</v>
      </c>
      <c r="N53" s="1537">
        <v>11</v>
      </c>
      <c r="O53" s="1521"/>
      <c r="S53" s="1512"/>
      <c r="U53" s="1522"/>
    </row>
    <row r="54" spans="1:21" ht="2.25" customHeight="1" x14ac:dyDescent="0.25">
      <c r="A54" s="1502"/>
      <c r="B54" s="1503"/>
      <c r="C54" s="1504"/>
      <c r="D54" s="1523"/>
      <c r="E54" s="1505"/>
      <c r="F54" s="1505"/>
      <c r="G54" s="1505"/>
      <c r="H54" s="1544"/>
      <c r="I54" s="1544"/>
      <c r="J54" s="1545"/>
      <c r="K54" s="1546">
        <f>SUM(K6:K53)</f>
        <v>21853585.133461993</v>
      </c>
      <c r="L54" s="1546">
        <f>SUM(L6:L53)</f>
        <v>81607452.107972279</v>
      </c>
      <c r="M54" s="1547">
        <f>+K54+L54</f>
        <v>103461037.24143428</v>
      </c>
      <c r="N54" s="1548"/>
      <c r="S54" s="1512"/>
      <c r="U54" s="1549"/>
    </row>
    <row r="55" spans="1:21" ht="15.75" customHeight="1" x14ac:dyDescent="0.25">
      <c r="A55" s="1502"/>
      <c r="B55" s="1677" t="s">
        <v>2961</v>
      </c>
      <c r="C55" s="1677"/>
      <c r="D55" s="1677"/>
      <c r="E55" s="1550"/>
      <c r="F55" s="1551"/>
      <c r="G55" s="1552">
        <f>J55</f>
        <v>0</v>
      </c>
      <c r="H55" s="1553"/>
      <c r="I55" s="1553"/>
      <c r="J55" s="1554">
        <f>J54</f>
        <v>0</v>
      </c>
      <c r="K55" s="1555" t="e">
        <f>+#REF!</f>
        <v>#REF!</v>
      </c>
      <c r="L55" s="1555" t="e">
        <f>#REF!+M55</f>
        <v>#REF!</v>
      </c>
      <c r="M55" s="1556"/>
      <c r="N55" s="1548"/>
      <c r="S55" s="1512"/>
      <c r="T55" s="1522"/>
    </row>
    <row r="56" spans="1:21" ht="3" customHeight="1" x14ac:dyDescent="0.25">
      <c r="A56" s="1502"/>
      <c r="B56" s="1557"/>
      <c r="C56" s="1558"/>
      <c r="D56" s="1559"/>
      <c r="E56" s="1550"/>
      <c r="F56" s="1551"/>
      <c r="G56" s="1560"/>
      <c r="H56" s="1553"/>
      <c r="I56" s="1553"/>
      <c r="J56" s="1554"/>
      <c r="K56" s="1555"/>
      <c r="L56" s="1555"/>
      <c r="M56" s="1556"/>
      <c r="N56" s="1548"/>
      <c r="S56" s="1512"/>
      <c r="T56" s="1522"/>
    </row>
    <row r="57" spans="1:21" ht="15.75" x14ac:dyDescent="0.25">
      <c r="A57" s="1502"/>
      <c r="B57" s="1680" t="s">
        <v>2962</v>
      </c>
      <c r="C57" s="1681"/>
      <c r="D57" s="1682"/>
      <c r="E57" s="1550"/>
      <c r="F57" s="1551"/>
      <c r="G57" s="1552">
        <f>SUM(J64:J66)</f>
        <v>0</v>
      </c>
      <c r="H57" s="1553"/>
      <c r="I57" s="1553"/>
      <c r="J57" s="1554"/>
      <c r="K57" s="1555"/>
      <c r="L57" s="1555"/>
      <c r="M57" s="1556"/>
      <c r="N57" s="1548"/>
      <c r="S57" s="1512"/>
      <c r="T57" s="1522"/>
    </row>
    <row r="58" spans="1:21" ht="3" customHeight="1" x14ac:dyDescent="0.25">
      <c r="A58" s="1502"/>
      <c r="B58" s="1683"/>
      <c r="C58" s="1684"/>
      <c r="D58" s="1685"/>
      <c r="E58" s="1550"/>
      <c r="F58" s="1551"/>
      <c r="G58" s="1560"/>
      <c r="H58" s="1553"/>
      <c r="I58" s="1553"/>
      <c r="J58" s="1554"/>
      <c r="K58" s="1555"/>
      <c r="L58" s="1555"/>
      <c r="M58" s="1556"/>
      <c r="N58" s="1548"/>
      <c r="S58" s="1512"/>
      <c r="T58" s="1522"/>
    </row>
    <row r="59" spans="1:21" ht="15.75" x14ac:dyDescent="0.25">
      <c r="A59" s="1502"/>
      <c r="B59" s="1680" t="s">
        <v>2963</v>
      </c>
      <c r="C59" s="1681"/>
      <c r="D59" s="1682"/>
      <c r="E59" s="1550"/>
      <c r="F59" s="1551"/>
      <c r="G59" s="1552">
        <f>ROUND(J66*0.19,0)</f>
        <v>0</v>
      </c>
      <c r="H59" s="1553"/>
      <c r="I59" s="1553"/>
      <c r="J59" s="1554"/>
      <c r="K59" s="1555"/>
      <c r="L59" s="1555"/>
      <c r="M59" s="1556"/>
      <c r="N59" s="1548"/>
      <c r="S59" s="1512"/>
      <c r="T59" s="1522"/>
    </row>
    <row r="60" spans="1:21" ht="3" customHeight="1" x14ac:dyDescent="0.25">
      <c r="A60" s="1502"/>
      <c r="B60" s="1557"/>
      <c r="C60" s="1558"/>
      <c r="D60" s="1559"/>
      <c r="E60" s="1550"/>
      <c r="F60" s="1551"/>
      <c r="G60" s="1560"/>
      <c r="H60" s="1553"/>
      <c r="I60" s="1553"/>
      <c r="J60" s="1554"/>
      <c r="K60" s="1555"/>
      <c r="L60" s="1555"/>
      <c r="M60" s="1556"/>
      <c r="N60" s="1548"/>
      <c r="S60" s="1512"/>
      <c r="T60" s="1522"/>
    </row>
    <row r="61" spans="1:21" ht="15.75" x14ac:dyDescent="0.25">
      <c r="A61" s="1502"/>
      <c r="B61" s="1680" t="s">
        <v>2964</v>
      </c>
      <c r="C61" s="1681"/>
      <c r="D61" s="1682"/>
      <c r="E61" s="1550"/>
      <c r="F61" s="1551"/>
      <c r="G61" s="1552">
        <f>SUM(G55:G59)</f>
        <v>0</v>
      </c>
      <c r="H61" s="1553"/>
      <c r="I61" s="1553"/>
      <c r="J61" s="1554"/>
      <c r="K61" s="1555"/>
      <c r="L61" s="1555"/>
      <c r="M61" s="1556"/>
      <c r="N61" s="1548"/>
      <c r="S61" s="1512"/>
      <c r="T61" s="1522"/>
    </row>
    <row r="62" spans="1:21" ht="15.75" x14ac:dyDescent="0.25">
      <c r="A62" s="1502"/>
      <c r="B62" s="1495"/>
      <c r="C62" s="1495"/>
      <c r="D62" s="1496"/>
      <c r="E62" s="1550"/>
      <c r="F62" s="1551"/>
      <c r="G62" s="1561"/>
      <c r="H62" s="1561"/>
      <c r="I62" s="1561"/>
      <c r="J62" s="1562"/>
      <c r="K62" s="1555"/>
      <c r="L62" s="1555"/>
      <c r="M62" s="1556"/>
      <c r="N62" s="1548"/>
      <c r="S62" s="1512"/>
      <c r="T62" s="1522"/>
    </row>
    <row r="63" spans="1:21" ht="15.75" hidden="1" x14ac:dyDescent="0.25">
      <c r="A63" s="1502"/>
      <c r="B63" s="1503"/>
      <c r="C63" s="1504"/>
      <c r="D63" s="1523"/>
      <c r="E63" s="1563"/>
      <c r="F63" s="1564"/>
      <c r="G63" s="1525"/>
      <c r="H63" s="1525"/>
      <c r="I63" s="1525"/>
      <c r="J63" s="1562"/>
      <c r="K63" s="1494"/>
      <c r="L63" s="1494"/>
      <c r="M63" s="1494"/>
      <c r="N63" s="1548"/>
      <c r="S63" s="1565"/>
      <c r="T63" s="1507">
        <v>45370370</v>
      </c>
    </row>
    <row r="64" spans="1:21" ht="15.75" hidden="1" x14ac:dyDescent="0.25">
      <c r="A64" s="1502"/>
      <c r="B64" s="1566" t="s">
        <v>2775</v>
      </c>
      <c r="C64" s="1567">
        <v>0.18</v>
      </c>
      <c r="D64" s="1523"/>
      <c r="E64" s="1563"/>
      <c r="F64" s="1564"/>
      <c r="G64" s="1525"/>
      <c r="H64" s="1525"/>
      <c r="I64" s="1525"/>
      <c r="J64" s="1562">
        <f>ROUND(+J55*C64,0)-O67</f>
        <v>0</v>
      </c>
      <c r="K64" s="1568" t="e">
        <f>+$K$55*C64</f>
        <v>#REF!</v>
      </c>
      <c r="L64" s="1568" t="e">
        <f>+$L$55*C64</f>
        <v>#REF!</v>
      </c>
      <c r="M64" s="1494"/>
      <c r="N64" s="1548"/>
      <c r="S64" s="1549"/>
      <c r="T64" s="1507">
        <v>3629630</v>
      </c>
    </row>
    <row r="65" spans="1:23" ht="15.75" hidden="1" x14ac:dyDescent="0.25">
      <c r="A65" s="1502"/>
      <c r="B65" s="1566" t="s">
        <v>2776</v>
      </c>
      <c r="C65" s="1567">
        <f>' AIU OBRA CIVIL'!G49</f>
        <v>0.02</v>
      </c>
      <c r="D65" s="1523"/>
      <c r="E65" s="1563"/>
      <c r="F65" s="1569"/>
      <c r="G65" s="1525"/>
      <c r="H65" s="1525"/>
      <c r="I65" s="1525"/>
      <c r="J65" s="1562">
        <f>ROUND(+J55*C65,0)</f>
        <v>0</v>
      </c>
      <c r="K65" s="1568" t="e">
        <f t="shared" ref="K65:K66" si="21">+$K$55*C65</f>
        <v>#REF!</v>
      </c>
      <c r="L65" s="1568" t="e">
        <f t="shared" ref="L65:L66" si="22">+$L$55*C65</f>
        <v>#REF!</v>
      </c>
      <c r="M65" s="1494"/>
      <c r="N65" s="1548"/>
      <c r="S65" s="1549"/>
      <c r="T65" s="1507">
        <v>1000000</v>
      </c>
    </row>
    <row r="66" spans="1:23" ht="15.75" hidden="1" x14ac:dyDescent="0.25">
      <c r="A66" s="1502"/>
      <c r="B66" s="1566" t="s">
        <v>2777</v>
      </c>
      <c r="C66" s="1567">
        <f>' AIU OBRA CIVIL'!G50</f>
        <v>0.05</v>
      </c>
      <c r="D66" s="1523"/>
      <c r="E66" s="1563"/>
      <c r="F66" s="1570"/>
      <c r="G66" s="1525"/>
      <c r="H66" s="1525"/>
      <c r="I66" s="1525"/>
      <c r="J66" s="1562">
        <f>ROUND(+J55*C66,0)</f>
        <v>0</v>
      </c>
      <c r="K66" s="1568" t="e">
        <f t="shared" si="21"/>
        <v>#REF!</v>
      </c>
      <c r="L66" s="1568" t="e">
        <f t="shared" si="22"/>
        <v>#REF!</v>
      </c>
      <c r="M66" s="1494"/>
      <c r="N66" s="1548"/>
      <c r="S66" s="1571"/>
      <c r="T66" s="1572">
        <f>SUM(T63:T65)</f>
        <v>50000000</v>
      </c>
      <c r="U66" s="1572">
        <f>+T66</f>
        <v>50000000</v>
      </c>
      <c r="V66" s="1572">
        <f>+O71-U66</f>
        <v>97619985</v>
      </c>
    </row>
    <row r="67" spans="1:23" ht="15.75" hidden="1" x14ac:dyDescent="0.25">
      <c r="A67" s="1502"/>
      <c r="B67" s="1566" t="s">
        <v>2722</v>
      </c>
      <c r="C67" s="1567"/>
      <c r="D67" s="1573"/>
      <c r="E67" s="1574"/>
      <c r="F67" s="1575"/>
      <c r="G67" s="1525"/>
      <c r="H67" s="1525"/>
      <c r="I67" s="1525"/>
      <c r="J67" s="1562">
        <f>ROUND(J66*0.16,0)</f>
        <v>0</v>
      </c>
      <c r="K67" s="1568"/>
      <c r="L67" s="1568"/>
      <c r="M67" s="1494"/>
      <c r="N67" s="1548"/>
      <c r="O67" s="1576">
        <f>+G59-J67</f>
        <v>0</v>
      </c>
      <c r="S67" s="1571"/>
      <c r="U67" s="1577" t="s">
        <v>2957</v>
      </c>
      <c r="V67" s="1577" t="s">
        <v>2958</v>
      </c>
    </row>
    <row r="68" spans="1:23" ht="15.75" hidden="1" x14ac:dyDescent="0.25">
      <c r="A68" s="1502"/>
      <c r="B68" s="1566" t="s">
        <v>2631</v>
      </c>
      <c r="C68" s="1578"/>
      <c r="D68" s="1523"/>
      <c r="E68" s="1563"/>
      <c r="F68" s="1564"/>
      <c r="G68" s="1525"/>
      <c r="H68" s="1525"/>
      <c r="I68" s="1525"/>
      <c r="J68" s="1562">
        <f>SUM(J55:J67)</f>
        <v>0</v>
      </c>
      <c r="K68" s="1568"/>
      <c r="L68" s="1568"/>
      <c r="M68" s="1494"/>
      <c r="N68" s="1548"/>
      <c r="O68" s="1572">
        <f>+J68</f>
        <v>0</v>
      </c>
      <c r="R68" s="1579">
        <f>T68/T71</f>
        <v>0</v>
      </c>
      <c r="S68" s="1577" t="s">
        <v>2954</v>
      </c>
      <c r="T68" s="1580">
        <f>+O68</f>
        <v>0</v>
      </c>
      <c r="U68" s="1580">
        <f>+T66*R68</f>
        <v>0</v>
      </c>
      <c r="V68" s="1580">
        <f>+V66*R68</f>
        <v>0</v>
      </c>
      <c r="W68" s="1580">
        <f>+U68+V68</f>
        <v>0</v>
      </c>
    </row>
    <row r="69" spans="1:23" ht="15.75" hidden="1" x14ac:dyDescent="0.25">
      <c r="A69" s="1502"/>
      <c r="B69" s="1566" t="s">
        <v>2865</v>
      </c>
      <c r="C69" s="1581"/>
      <c r="D69" s="1523"/>
      <c r="E69" s="1563"/>
      <c r="F69" s="1564"/>
      <c r="G69" s="1525"/>
      <c r="H69" s="1525"/>
      <c r="I69" s="1525"/>
      <c r="J69" s="1526">
        <f>121178887-338</f>
        <v>121178549</v>
      </c>
      <c r="K69" s="1582" t="s">
        <v>2132</v>
      </c>
      <c r="L69" s="1546" t="s">
        <v>2133</v>
      </c>
      <c r="M69" s="1519"/>
      <c r="N69" s="1583"/>
      <c r="O69" s="1572">
        <f>+J69</f>
        <v>121178549</v>
      </c>
      <c r="R69" s="1579">
        <f>T69/T71</f>
        <v>0.82088173223970995</v>
      </c>
      <c r="S69" s="1584" t="s">
        <v>2955</v>
      </c>
      <c r="T69" s="1580">
        <f t="shared" ref="T69:T71" si="23">+O69</f>
        <v>121178549</v>
      </c>
      <c r="U69" s="1580">
        <f>T66*R69</f>
        <v>41044086.611985497</v>
      </c>
      <c r="V69" s="1580">
        <f>+V66*R69</f>
        <v>80134462.388014495</v>
      </c>
      <c r="W69" s="1580">
        <f>+U69+V69</f>
        <v>121178549</v>
      </c>
    </row>
    <row r="70" spans="1:23" ht="15.75" hidden="1" x14ac:dyDescent="0.25">
      <c r="A70" s="1502"/>
      <c r="B70" s="1566" t="s">
        <v>2863</v>
      </c>
      <c r="C70" s="1581"/>
      <c r="D70" s="1523"/>
      <c r="E70" s="1563"/>
      <c r="F70" s="1564"/>
      <c r="G70" s="1525"/>
      <c r="H70" s="1525"/>
      <c r="I70" s="1525"/>
      <c r="J70" s="1526">
        <v>26441436</v>
      </c>
      <c r="K70" s="1585" t="s">
        <v>2685</v>
      </c>
      <c r="L70" s="1546">
        <f>+D6</f>
        <v>909.5</v>
      </c>
      <c r="M70" s="1494">
        <v>810.5</v>
      </c>
      <c r="N70" s="1548"/>
      <c r="O70" s="1572">
        <f>+J70</f>
        <v>26441436</v>
      </c>
      <c r="R70" s="1579">
        <f>+T70/T71</f>
        <v>0.17911826776029005</v>
      </c>
      <c r="S70" s="1584" t="s">
        <v>2956</v>
      </c>
      <c r="T70" s="1580">
        <f t="shared" si="23"/>
        <v>26441436</v>
      </c>
      <c r="U70" s="1580">
        <f>+T66*R70</f>
        <v>8955913.3880145028</v>
      </c>
      <c r="V70" s="1580">
        <f>+V66*R70</f>
        <v>17485522.611985497</v>
      </c>
    </row>
    <row r="71" spans="1:23" ht="16.5" hidden="1" thickBot="1" x14ac:dyDescent="0.3">
      <c r="A71" s="1586"/>
      <c r="B71" s="1675" t="s">
        <v>2087</v>
      </c>
      <c r="C71" s="1675"/>
      <c r="D71" s="1675"/>
      <c r="E71" s="1675"/>
      <c r="F71" s="1675"/>
      <c r="G71" s="1675"/>
      <c r="H71" s="1587"/>
      <c r="I71" s="1587"/>
      <c r="J71" s="1588">
        <f>+J68+J69+J70</f>
        <v>147619985</v>
      </c>
      <c r="K71" s="1589" t="e">
        <f>+#REF!/D6</f>
        <v>#REF!</v>
      </c>
      <c r="L71" s="1589" t="e">
        <f>+#REF!/D6</f>
        <v>#REF!</v>
      </c>
      <c r="M71" s="1590" t="e">
        <f>(L71+K71)/1000</f>
        <v>#REF!</v>
      </c>
      <c r="N71" s="1591"/>
      <c r="O71" s="1572">
        <f>SUM(O68:O70)</f>
        <v>147619985</v>
      </c>
      <c r="R71" s="1571">
        <f>SUM(R68:R70)</f>
        <v>1</v>
      </c>
      <c r="S71" s="1577" t="s">
        <v>2328</v>
      </c>
      <c r="T71" s="1580">
        <f t="shared" si="23"/>
        <v>147619985</v>
      </c>
      <c r="U71" s="1580">
        <f>SUM(U68:U70)</f>
        <v>50000000</v>
      </c>
      <c r="V71" s="1580">
        <f>SUM(V68:V70)</f>
        <v>97619985</v>
      </c>
    </row>
    <row r="72" spans="1:23" x14ac:dyDescent="0.2">
      <c r="B72" s="1593"/>
      <c r="C72" s="1592"/>
      <c r="J72" s="1598"/>
      <c r="K72" s="1493" t="s">
        <v>2134</v>
      </c>
      <c r="L72" s="1522"/>
    </row>
    <row r="73" spans="1:23" x14ac:dyDescent="0.2">
      <c r="B73" s="1593"/>
      <c r="C73" s="1592"/>
      <c r="J73" s="1598"/>
      <c r="S73" s="1571"/>
      <c r="V73" s="1580"/>
    </row>
    <row r="74" spans="1:23" x14ac:dyDescent="0.2">
      <c r="B74" s="1593"/>
      <c r="C74" s="1592"/>
      <c r="J74" s="1598"/>
      <c r="K74" s="1600" t="e">
        <f>+L71*0.7</f>
        <v>#REF!</v>
      </c>
      <c r="L74" s="1522" t="s">
        <v>2135</v>
      </c>
      <c r="M74" s="1493">
        <v>334506.495632042</v>
      </c>
      <c r="N74" s="1601"/>
    </row>
    <row r="75" spans="1:23" x14ac:dyDescent="0.2">
      <c r="B75" s="1593"/>
      <c r="C75" s="1592"/>
      <c r="J75" s="1598"/>
      <c r="K75" s="1600" t="e">
        <f>+L71*0.3</f>
        <v>#REF!</v>
      </c>
      <c r="L75" s="1493" t="s">
        <v>2136</v>
      </c>
      <c r="M75" s="1493">
        <v>143359.9266994466</v>
      </c>
    </row>
    <row r="76" spans="1:23" x14ac:dyDescent="0.2">
      <c r="B76" s="1593"/>
      <c r="C76" s="1592"/>
      <c r="J76" s="1598"/>
      <c r="S76" s="1549"/>
    </row>
    <row r="77" spans="1:23" x14ac:dyDescent="0.2">
      <c r="B77" s="1593"/>
      <c r="C77" s="1592"/>
      <c r="E77" s="1602"/>
      <c r="J77" s="1598"/>
      <c r="S77" s="1549"/>
    </row>
    <row r="78" spans="1:23" x14ac:dyDescent="0.2">
      <c r="B78" s="1593"/>
      <c r="C78" s="1592"/>
      <c r="J78" s="1598"/>
    </row>
    <row r="79" spans="1:23" x14ac:dyDescent="0.2">
      <c r="B79" s="1593"/>
      <c r="C79" s="1603"/>
      <c r="D79" s="1604"/>
      <c r="E79" s="1605"/>
      <c r="J79" s="1598"/>
    </row>
    <row r="80" spans="1:23" x14ac:dyDescent="0.2">
      <c r="B80" s="1593"/>
      <c r="C80" s="1603"/>
      <c r="D80" s="1606"/>
      <c r="E80" s="1605"/>
      <c r="J80" s="1598"/>
      <c r="K80" s="1607"/>
      <c r="L80" s="1607"/>
      <c r="M80" s="1607"/>
    </row>
    <row r="81" spans="2:14" ht="15.75" x14ac:dyDescent="0.25">
      <c r="B81" s="1593"/>
      <c r="C81" s="1608"/>
      <c r="D81" s="1606"/>
      <c r="E81" s="1609"/>
      <c r="J81" s="1598"/>
      <c r="K81" s="1572">
        <v>618221449.03474104</v>
      </c>
      <c r="L81" s="1493">
        <v>290742834.06004101</v>
      </c>
    </row>
    <row r="82" spans="2:14" x14ac:dyDescent="0.2">
      <c r="B82" s="1593"/>
      <c r="C82" s="1610"/>
      <c r="D82" s="1611"/>
      <c r="E82" s="1605"/>
      <c r="J82" s="1598"/>
      <c r="K82" s="1612"/>
      <c r="L82" s="1612"/>
      <c r="M82" s="1612"/>
    </row>
    <row r="83" spans="2:14" x14ac:dyDescent="0.2">
      <c r="B83" s="1593"/>
      <c r="C83" s="1610"/>
      <c r="D83" s="1611"/>
      <c r="E83" s="1605"/>
      <c r="J83" s="1598"/>
      <c r="K83" s="1577"/>
      <c r="L83" s="1598"/>
    </row>
    <row r="84" spans="2:14" x14ac:dyDescent="0.2">
      <c r="B84" s="1593"/>
      <c r="C84" s="1613"/>
      <c r="D84" s="1614"/>
      <c r="E84" s="1605"/>
      <c r="J84" s="1598"/>
      <c r="L84" s="1572"/>
    </row>
    <row r="85" spans="2:14" x14ac:dyDescent="0.2">
      <c r="B85" s="1593"/>
      <c r="C85" s="1610"/>
      <c r="D85" s="1614"/>
      <c r="E85" s="1605"/>
      <c r="J85" s="1615"/>
      <c r="K85" s="1616"/>
      <c r="L85" s="1616"/>
      <c r="M85" s="1616"/>
      <c r="N85" s="1617"/>
    </row>
    <row r="86" spans="2:14" x14ac:dyDescent="0.2">
      <c r="B86" s="1593"/>
      <c r="C86" s="1618"/>
      <c r="D86" s="1614"/>
      <c r="E86" s="1605"/>
      <c r="J86" s="1598"/>
      <c r="K86" s="1619"/>
      <c r="L86" s="1619"/>
      <c r="M86" s="1619"/>
      <c r="N86" s="1617"/>
    </row>
    <row r="87" spans="2:14" x14ac:dyDescent="0.2">
      <c r="B87" s="1593"/>
      <c r="C87" s="1620"/>
      <c r="D87" s="1614"/>
      <c r="E87" s="1605"/>
      <c r="J87" s="1598"/>
      <c r="N87" s="1601"/>
    </row>
    <row r="88" spans="2:14" x14ac:dyDescent="0.2">
      <c r="B88" s="1593"/>
      <c r="C88" s="1618"/>
      <c r="D88" s="1614"/>
      <c r="E88" s="1605"/>
      <c r="J88" s="1598"/>
    </row>
    <row r="89" spans="2:14" x14ac:dyDescent="0.2">
      <c r="B89" s="1593"/>
      <c r="C89" s="1618"/>
      <c r="D89" s="1614"/>
      <c r="E89" s="1605"/>
      <c r="J89" s="1598"/>
    </row>
    <row r="90" spans="2:14" x14ac:dyDescent="0.2">
      <c r="B90" s="1593"/>
      <c r="C90" s="1618"/>
      <c r="D90" s="1614"/>
      <c r="E90" s="1605"/>
      <c r="J90" s="1598"/>
      <c r="N90" s="1493"/>
    </row>
    <row r="91" spans="2:14" x14ac:dyDescent="0.2">
      <c r="B91" s="1593"/>
      <c r="C91" s="1618"/>
      <c r="D91" s="1614"/>
      <c r="E91" s="1605"/>
      <c r="J91" s="1598"/>
      <c r="N91" s="1493"/>
    </row>
    <row r="92" spans="2:14" x14ac:dyDescent="0.2">
      <c r="B92" s="1593"/>
      <c r="C92" s="1592"/>
      <c r="J92" s="1598"/>
      <c r="N92" s="1493"/>
    </row>
    <row r="93" spans="2:14" x14ac:dyDescent="0.2">
      <c r="B93" s="1593"/>
      <c r="C93" s="1592"/>
      <c r="J93" s="1598"/>
      <c r="N93" s="1493"/>
    </row>
    <row r="94" spans="2:14" x14ac:dyDescent="0.2">
      <c r="B94" s="1593"/>
      <c r="C94" s="1592"/>
      <c r="J94" s="1598"/>
      <c r="N94" s="1493"/>
    </row>
    <row r="95" spans="2:14" x14ac:dyDescent="0.2">
      <c r="B95" s="1593"/>
      <c r="C95" s="1592"/>
      <c r="J95" s="1598"/>
      <c r="N95" s="1493"/>
    </row>
    <row r="96" spans="2:14" x14ac:dyDescent="0.2">
      <c r="B96" s="1593"/>
      <c r="C96" s="1592"/>
      <c r="J96" s="1598"/>
      <c r="N96" s="1493"/>
    </row>
    <row r="97" spans="2:14" x14ac:dyDescent="0.2">
      <c r="B97" s="1593"/>
      <c r="C97" s="1592"/>
      <c r="J97" s="1598"/>
      <c r="N97" s="1493"/>
    </row>
    <row r="98" spans="2:14" x14ac:dyDescent="0.2">
      <c r="B98" s="1593"/>
      <c r="C98" s="1592"/>
      <c r="J98" s="1598"/>
      <c r="N98" s="1493"/>
    </row>
    <row r="99" spans="2:14" x14ac:dyDescent="0.2">
      <c r="B99" s="1593"/>
      <c r="C99" s="1592"/>
      <c r="J99" s="1598"/>
      <c r="N99" s="1493"/>
    </row>
    <row r="100" spans="2:14" x14ac:dyDescent="0.2">
      <c r="B100" s="1593"/>
      <c r="C100" s="1592"/>
      <c r="J100" s="1598"/>
      <c r="N100" s="1493"/>
    </row>
    <row r="101" spans="2:14" x14ac:dyDescent="0.2">
      <c r="B101" s="1593"/>
      <c r="C101" s="1592"/>
      <c r="J101" s="1598"/>
      <c r="N101" s="1493"/>
    </row>
    <row r="102" spans="2:14" x14ac:dyDescent="0.2">
      <c r="B102" s="1593"/>
      <c r="C102" s="1592"/>
      <c r="J102" s="1598"/>
      <c r="N102" s="1493"/>
    </row>
    <row r="103" spans="2:14" x14ac:dyDescent="0.2">
      <c r="B103" s="1593"/>
      <c r="C103" s="1592"/>
      <c r="J103" s="1598"/>
      <c r="N103" s="1493"/>
    </row>
    <row r="104" spans="2:14" x14ac:dyDescent="0.2">
      <c r="B104" s="1593"/>
      <c r="C104" s="1592"/>
      <c r="J104" s="1598"/>
      <c r="N104" s="1493"/>
    </row>
    <row r="105" spans="2:14" x14ac:dyDescent="0.2">
      <c r="B105" s="1593"/>
      <c r="C105" s="1592"/>
      <c r="J105" s="1598"/>
      <c r="N105" s="1493"/>
    </row>
    <row r="106" spans="2:14" x14ac:dyDescent="0.2">
      <c r="B106" s="1593"/>
      <c r="C106" s="1592"/>
      <c r="J106" s="1598"/>
      <c r="N106" s="1493"/>
    </row>
    <row r="107" spans="2:14" x14ac:dyDescent="0.2">
      <c r="B107" s="1593"/>
      <c r="C107" s="1592"/>
      <c r="J107" s="1598"/>
      <c r="N107" s="1493"/>
    </row>
    <row r="108" spans="2:14" x14ac:dyDescent="0.2">
      <c r="B108" s="1593"/>
      <c r="C108" s="1592"/>
      <c r="J108" s="1598"/>
      <c r="N108" s="1493"/>
    </row>
    <row r="109" spans="2:14" x14ac:dyDescent="0.2">
      <c r="B109" s="1593"/>
      <c r="C109" s="1592"/>
      <c r="J109" s="1598"/>
      <c r="N109" s="1493"/>
    </row>
    <row r="110" spans="2:14" x14ac:dyDescent="0.2">
      <c r="B110" s="1593"/>
      <c r="C110" s="1592"/>
      <c r="J110" s="1598"/>
      <c r="N110" s="1493"/>
    </row>
    <row r="111" spans="2:14" x14ac:dyDescent="0.2">
      <c r="B111" s="1593"/>
      <c r="C111" s="1592"/>
      <c r="J111" s="1598"/>
      <c r="N111" s="1493"/>
    </row>
    <row r="112" spans="2:14" x14ac:dyDescent="0.2">
      <c r="B112" s="1593"/>
      <c r="C112" s="1592"/>
      <c r="J112" s="1598"/>
      <c r="N112" s="1493"/>
    </row>
    <row r="113" spans="2:14" x14ac:dyDescent="0.2">
      <c r="B113" s="1593"/>
      <c r="C113" s="1592"/>
      <c r="J113" s="1598"/>
      <c r="N113" s="1493"/>
    </row>
    <row r="114" spans="2:14" x14ac:dyDescent="0.2">
      <c r="B114" s="1593"/>
      <c r="C114" s="1592"/>
      <c r="J114" s="1598"/>
      <c r="N114" s="1493"/>
    </row>
    <row r="115" spans="2:14" x14ac:dyDescent="0.2">
      <c r="B115" s="1593"/>
      <c r="C115" s="1592"/>
      <c r="J115" s="1598"/>
      <c r="N115" s="1493"/>
    </row>
    <row r="116" spans="2:14" x14ac:dyDescent="0.2">
      <c r="B116" s="1593"/>
      <c r="C116" s="1592"/>
      <c r="J116" s="1598"/>
      <c r="N116" s="1493"/>
    </row>
    <row r="117" spans="2:14" x14ac:dyDescent="0.2">
      <c r="B117" s="1593"/>
      <c r="C117" s="1592"/>
      <c r="J117" s="1598"/>
      <c r="N117" s="1493"/>
    </row>
    <row r="118" spans="2:14" x14ac:dyDescent="0.2">
      <c r="B118" s="1593"/>
      <c r="C118" s="1592"/>
      <c r="J118" s="1598"/>
      <c r="N118" s="1493"/>
    </row>
    <row r="119" spans="2:14" x14ac:dyDescent="0.2">
      <c r="B119" s="1593"/>
      <c r="C119" s="1592"/>
      <c r="J119" s="1598"/>
      <c r="N119" s="1493"/>
    </row>
    <row r="120" spans="2:14" x14ac:dyDescent="0.2">
      <c r="B120" s="1593"/>
      <c r="C120" s="1592"/>
      <c r="J120" s="1598"/>
      <c r="N120" s="1493"/>
    </row>
    <row r="121" spans="2:14" x14ac:dyDescent="0.2">
      <c r="B121" s="1593"/>
      <c r="C121" s="1592"/>
      <c r="J121" s="1598"/>
      <c r="N121" s="1493"/>
    </row>
    <row r="122" spans="2:14" x14ac:dyDescent="0.2">
      <c r="B122" s="1593"/>
      <c r="C122" s="1592"/>
      <c r="J122" s="1598"/>
      <c r="N122" s="1493"/>
    </row>
    <row r="123" spans="2:14" x14ac:dyDescent="0.2">
      <c r="B123" s="1593"/>
      <c r="C123" s="1592"/>
      <c r="J123" s="1598"/>
      <c r="N123" s="1493"/>
    </row>
    <row r="124" spans="2:14" x14ac:dyDescent="0.2">
      <c r="B124" s="1593"/>
      <c r="C124" s="1592"/>
      <c r="J124" s="1598"/>
      <c r="N124" s="1493"/>
    </row>
    <row r="125" spans="2:14" x14ac:dyDescent="0.2">
      <c r="B125" s="1593"/>
      <c r="C125" s="1592"/>
      <c r="J125" s="1598"/>
      <c r="N125" s="1493"/>
    </row>
    <row r="126" spans="2:14" x14ac:dyDescent="0.2">
      <c r="B126" s="1593"/>
      <c r="C126" s="1592"/>
      <c r="J126" s="1598"/>
      <c r="N126" s="1493"/>
    </row>
    <row r="127" spans="2:14" x14ac:dyDescent="0.2">
      <c r="B127" s="1593"/>
      <c r="C127" s="1592"/>
      <c r="J127" s="1598"/>
      <c r="N127" s="1493"/>
    </row>
    <row r="128" spans="2:14" x14ac:dyDescent="0.2">
      <c r="B128" s="1593"/>
      <c r="C128" s="1592"/>
      <c r="J128" s="1598"/>
      <c r="N128" s="1493"/>
    </row>
    <row r="129" spans="2:14" x14ac:dyDescent="0.2">
      <c r="B129" s="1593"/>
      <c r="C129" s="1592"/>
      <c r="J129" s="1598"/>
      <c r="N129" s="1493"/>
    </row>
    <row r="130" spans="2:14" x14ac:dyDescent="0.2">
      <c r="B130" s="1593"/>
      <c r="C130" s="1592"/>
      <c r="J130" s="1598"/>
      <c r="N130" s="1493"/>
    </row>
    <row r="131" spans="2:14" x14ac:dyDescent="0.2">
      <c r="B131" s="1593"/>
      <c r="C131" s="1592"/>
      <c r="J131" s="1598"/>
      <c r="N131" s="1493"/>
    </row>
    <row r="132" spans="2:14" x14ac:dyDescent="0.2">
      <c r="B132" s="1593"/>
      <c r="C132" s="1592"/>
      <c r="J132" s="1598"/>
      <c r="N132" s="1493"/>
    </row>
    <row r="133" spans="2:14" x14ac:dyDescent="0.2">
      <c r="B133" s="1593"/>
      <c r="C133" s="1592"/>
      <c r="J133" s="1598"/>
      <c r="N133" s="1493"/>
    </row>
    <row r="134" spans="2:14" x14ac:dyDescent="0.2">
      <c r="B134" s="1593"/>
      <c r="C134" s="1592"/>
      <c r="J134" s="1598"/>
      <c r="N134" s="1493"/>
    </row>
    <row r="135" spans="2:14" x14ac:dyDescent="0.2">
      <c r="B135" s="1593"/>
      <c r="C135" s="1592"/>
      <c r="J135" s="1598"/>
      <c r="N135" s="1493"/>
    </row>
    <row r="136" spans="2:14" x14ac:dyDescent="0.2">
      <c r="B136" s="1593"/>
      <c r="C136" s="1592"/>
      <c r="J136" s="1598"/>
      <c r="N136" s="1493"/>
    </row>
    <row r="137" spans="2:14" x14ac:dyDescent="0.2">
      <c r="B137" s="1593"/>
      <c r="C137" s="1592"/>
      <c r="J137" s="1598"/>
      <c r="N137" s="1493"/>
    </row>
    <row r="138" spans="2:14" x14ac:dyDescent="0.2">
      <c r="B138" s="1593"/>
      <c r="C138" s="1592"/>
      <c r="J138" s="1598"/>
      <c r="N138" s="1493"/>
    </row>
    <row r="139" spans="2:14" x14ac:dyDescent="0.2">
      <c r="B139" s="1593"/>
      <c r="C139" s="1592"/>
      <c r="J139" s="1598"/>
      <c r="N139" s="1493"/>
    </row>
    <row r="140" spans="2:14" x14ac:dyDescent="0.2">
      <c r="B140" s="1593"/>
      <c r="C140" s="1592"/>
      <c r="J140" s="1598"/>
      <c r="N140" s="1493"/>
    </row>
    <row r="141" spans="2:14" x14ac:dyDescent="0.2">
      <c r="B141" s="1593"/>
      <c r="C141" s="1592"/>
      <c r="J141" s="1598"/>
      <c r="N141" s="1493"/>
    </row>
    <row r="142" spans="2:14" x14ac:dyDescent="0.2">
      <c r="B142" s="1593"/>
      <c r="C142" s="1592"/>
      <c r="J142" s="1598"/>
      <c r="N142" s="1493"/>
    </row>
    <row r="143" spans="2:14" x14ac:dyDescent="0.2">
      <c r="B143" s="1593"/>
      <c r="C143" s="1592"/>
      <c r="J143" s="1598"/>
      <c r="N143" s="1493"/>
    </row>
    <row r="144" spans="2:14" x14ac:dyDescent="0.2">
      <c r="B144" s="1593"/>
      <c r="C144" s="1592"/>
      <c r="J144" s="1598"/>
      <c r="N144" s="1493"/>
    </row>
    <row r="145" spans="2:14" x14ac:dyDescent="0.2">
      <c r="B145" s="1593"/>
      <c r="C145" s="1592"/>
      <c r="J145" s="1598"/>
      <c r="N145" s="1493"/>
    </row>
    <row r="146" spans="2:14" x14ac:dyDescent="0.2">
      <c r="B146" s="1593"/>
      <c r="C146" s="1592"/>
      <c r="J146" s="1598"/>
      <c r="N146" s="1493"/>
    </row>
    <row r="147" spans="2:14" x14ac:dyDescent="0.2">
      <c r="B147" s="1593"/>
      <c r="C147" s="1592"/>
      <c r="J147" s="1598"/>
      <c r="N147" s="1493"/>
    </row>
    <row r="148" spans="2:14" x14ac:dyDescent="0.2">
      <c r="B148" s="1593"/>
      <c r="C148" s="1592"/>
      <c r="J148" s="1598"/>
      <c r="N148" s="1493"/>
    </row>
    <row r="149" spans="2:14" x14ac:dyDescent="0.2">
      <c r="B149" s="1593"/>
      <c r="C149" s="1592"/>
      <c r="J149" s="1598"/>
      <c r="N149" s="1493"/>
    </row>
    <row r="150" spans="2:14" x14ac:dyDescent="0.2">
      <c r="B150" s="1593"/>
      <c r="C150" s="1592"/>
      <c r="J150" s="1598"/>
      <c r="N150" s="1493"/>
    </row>
    <row r="151" spans="2:14" x14ac:dyDescent="0.2">
      <c r="B151" s="1593"/>
      <c r="C151" s="1592"/>
      <c r="J151" s="1598"/>
      <c r="N151" s="1493"/>
    </row>
    <row r="152" spans="2:14" x14ac:dyDescent="0.2">
      <c r="B152" s="1593"/>
      <c r="C152" s="1592"/>
      <c r="J152" s="1598"/>
      <c r="N152" s="1493"/>
    </row>
    <row r="153" spans="2:14" x14ac:dyDescent="0.2">
      <c r="B153" s="1593"/>
      <c r="C153" s="1592"/>
      <c r="J153" s="1598"/>
      <c r="N153" s="1493"/>
    </row>
    <row r="154" spans="2:14" x14ac:dyDescent="0.2">
      <c r="B154" s="1593"/>
      <c r="C154" s="1592"/>
      <c r="J154" s="1598"/>
      <c r="N154" s="1493"/>
    </row>
    <row r="155" spans="2:14" x14ac:dyDescent="0.2">
      <c r="B155" s="1593"/>
      <c r="C155" s="1592"/>
      <c r="J155" s="1598"/>
      <c r="N155" s="1493"/>
    </row>
    <row r="156" spans="2:14" x14ac:dyDescent="0.2">
      <c r="B156" s="1593"/>
      <c r="C156" s="1592"/>
      <c r="J156" s="1598"/>
      <c r="N156" s="1493"/>
    </row>
    <row r="157" spans="2:14" x14ac:dyDescent="0.2">
      <c r="B157" s="1593"/>
      <c r="C157" s="1592"/>
      <c r="J157" s="1598"/>
      <c r="N157" s="1493"/>
    </row>
    <row r="158" spans="2:14" x14ac:dyDescent="0.2">
      <c r="B158" s="1593"/>
      <c r="C158" s="1592"/>
      <c r="J158" s="1598"/>
      <c r="N158" s="1493"/>
    </row>
    <row r="159" spans="2:14" x14ac:dyDescent="0.2">
      <c r="B159" s="1593"/>
      <c r="C159" s="1592"/>
      <c r="J159" s="1598"/>
      <c r="N159" s="1493"/>
    </row>
    <row r="160" spans="2:14" x14ac:dyDescent="0.2">
      <c r="B160" s="1593"/>
      <c r="C160" s="1592"/>
      <c r="J160" s="1598"/>
      <c r="N160" s="1493"/>
    </row>
    <row r="161" spans="2:14" x14ac:dyDescent="0.2">
      <c r="B161" s="1593"/>
      <c r="C161" s="1592"/>
      <c r="J161" s="1598"/>
      <c r="N161" s="1493"/>
    </row>
    <row r="162" spans="2:14" x14ac:dyDescent="0.2">
      <c r="B162" s="1593"/>
      <c r="C162" s="1592"/>
      <c r="J162" s="1598"/>
      <c r="N162" s="1493"/>
    </row>
    <row r="163" spans="2:14" x14ac:dyDescent="0.2">
      <c r="B163" s="1593"/>
      <c r="C163" s="1592"/>
      <c r="J163" s="1598"/>
      <c r="N163" s="1493"/>
    </row>
    <row r="164" spans="2:14" x14ac:dyDescent="0.2">
      <c r="B164" s="1593"/>
      <c r="C164" s="1592"/>
      <c r="J164" s="1598"/>
      <c r="N164" s="1493"/>
    </row>
    <row r="165" spans="2:14" x14ac:dyDescent="0.2">
      <c r="B165" s="1593"/>
      <c r="C165" s="1592"/>
      <c r="J165" s="1598"/>
      <c r="N165" s="1493"/>
    </row>
    <row r="166" spans="2:14" x14ac:dyDescent="0.2">
      <c r="B166" s="1593"/>
      <c r="C166" s="1592"/>
      <c r="J166" s="1598"/>
      <c r="N166" s="1493"/>
    </row>
    <row r="167" spans="2:14" x14ac:dyDescent="0.2">
      <c r="B167" s="1593"/>
      <c r="C167" s="1592"/>
      <c r="J167" s="1598"/>
      <c r="N167" s="1493"/>
    </row>
    <row r="168" spans="2:14" x14ac:dyDescent="0.2">
      <c r="B168" s="1593"/>
      <c r="C168" s="1592"/>
      <c r="J168" s="1598"/>
      <c r="N168" s="1493"/>
    </row>
    <row r="169" spans="2:14" x14ac:dyDescent="0.2">
      <c r="B169" s="1593"/>
      <c r="C169" s="1592"/>
      <c r="J169" s="1598"/>
      <c r="N169" s="1493"/>
    </row>
    <row r="170" spans="2:14" x14ac:dyDescent="0.2">
      <c r="B170" s="1593"/>
      <c r="C170" s="1592"/>
      <c r="J170" s="1598"/>
      <c r="N170" s="1493"/>
    </row>
    <row r="171" spans="2:14" x14ac:dyDescent="0.2">
      <c r="B171" s="1593"/>
      <c r="C171" s="1592"/>
      <c r="J171" s="1598"/>
      <c r="N171" s="1493"/>
    </row>
    <row r="172" spans="2:14" x14ac:dyDescent="0.2">
      <c r="B172" s="1593"/>
      <c r="C172" s="1592"/>
      <c r="J172" s="1598"/>
      <c r="N172" s="1493"/>
    </row>
    <row r="173" spans="2:14" x14ac:dyDescent="0.2">
      <c r="B173" s="1593"/>
      <c r="C173" s="1592"/>
      <c r="J173" s="1598"/>
      <c r="N173" s="1493"/>
    </row>
    <row r="174" spans="2:14" x14ac:dyDescent="0.2">
      <c r="B174" s="1593"/>
      <c r="C174" s="1592"/>
      <c r="J174" s="1598"/>
      <c r="N174" s="1493"/>
    </row>
    <row r="175" spans="2:14" x14ac:dyDescent="0.2">
      <c r="B175" s="1593"/>
      <c r="C175" s="1592"/>
      <c r="J175" s="1598"/>
      <c r="N175" s="1493"/>
    </row>
    <row r="176" spans="2:14" x14ac:dyDescent="0.2">
      <c r="B176" s="1593"/>
      <c r="C176" s="1592"/>
      <c r="J176" s="1598"/>
      <c r="N176" s="1493"/>
    </row>
    <row r="177" spans="2:14" x14ac:dyDescent="0.2">
      <c r="B177" s="1593"/>
      <c r="C177" s="1592"/>
      <c r="J177" s="1598"/>
      <c r="N177" s="1493"/>
    </row>
    <row r="178" spans="2:14" x14ac:dyDescent="0.2">
      <c r="B178" s="1593"/>
      <c r="C178" s="1592"/>
      <c r="J178" s="1598"/>
      <c r="N178" s="1493"/>
    </row>
    <row r="179" spans="2:14" x14ac:dyDescent="0.2">
      <c r="B179" s="1593"/>
      <c r="C179" s="1592"/>
      <c r="J179" s="1598"/>
      <c r="N179" s="1493"/>
    </row>
    <row r="180" spans="2:14" x14ac:dyDescent="0.2">
      <c r="B180" s="1593"/>
      <c r="C180" s="1592"/>
      <c r="J180" s="1598"/>
      <c r="N180" s="1493"/>
    </row>
    <row r="181" spans="2:14" x14ac:dyDescent="0.2">
      <c r="B181" s="1593"/>
      <c r="C181" s="1592"/>
      <c r="J181" s="1598"/>
      <c r="N181" s="1493"/>
    </row>
    <row r="182" spans="2:14" x14ac:dyDescent="0.2">
      <c r="B182" s="1593"/>
      <c r="C182" s="1592"/>
      <c r="J182" s="1598"/>
      <c r="N182" s="1493"/>
    </row>
    <row r="183" spans="2:14" x14ac:dyDescent="0.2">
      <c r="B183" s="1593"/>
      <c r="C183" s="1592"/>
      <c r="J183" s="1598"/>
      <c r="N183" s="1493"/>
    </row>
    <row r="184" spans="2:14" x14ac:dyDescent="0.2">
      <c r="B184" s="1593"/>
      <c r="C184" s="1592"/>
      <c r="J184" s="1598"/>
      <c r="N184" s="1493"/>
    </row>
    <row r="185" spans="2:14" x14ac:dyDescent="0.2">
      <c r="B185" s="1593"/>
      <c r="C185" s="1592"/>
      <c r="J185" s="1598"/>
      <c r="N185" s="1493"/>
    </row>
    <row r="186" spans="2:14" x14ac:dyDescent="0.2">
      <c r="B186" s="1593"/>
      <c r="C186" s="1592"/>
      <c r="J186" s="1598"/>
      <c r="N186" s="1493"/>
    </row>
    <row r="187" spans="2:14" x14ac:dyDescent="0.2">
      <c r="B187" s="1593"/>
      <c r="C187" s="1592"/>
      <c r="J187" s="1598"/>
      <c r="N187" s="1493"/>
    </row>
    <row r="188" spans="2:14" x14ac:dyDescent="0.2">
      <c r="B188" s="1593"/>
      <c r="C188" s="1592"/>
      <c r="J188" s="1598"/>
      <c r="N188" s="1493"/>
    </row>
    <row r="189" spans="2:14" x14ac:dyDescent="0.2">
      <c r="B189" s="1593"/>
      <c r="C189" s="1592"/>
      <c r="J189" s="1598"/>
      <c r="N189" s="1493"/>
    </row>
    <row r="190" spans="2:14" x14ac:dyDescent="0.2">
      <c r="B190" s="1593"/>
      <c r="C190" s="1592"/>
      <c r="J190" s="1598"/>
      <c r="N190" s="1493"/>
    </row>
    <row r="191" spans="2:14" x14ac:dyDescent="0.2">
      <c r="B191" s="1593"/>
      <c r="C191" s="1592"/>
      <c r="J191" s="1598"/>
      <c r="N191" s="1493"/>
    </row>
    <row r="192" spans="2:14" x14ac:dyDescent="0.2">
      <c r="B192" s="1593"/>
      <c r="C192" s="1592"/>
      <c r="J192" s="1598"/>
      <c r="N192" s="1493"/>
    </row>
    <row r="193" spans="2:14" x14ac:dyDescent="0.2">
      <c r="B193" s="1593"/>
      <c r="C193" s="1592"/>
      <c r="J193" s="1598"/>
      <c r="N193" s="1493"/>
    </row>
    <row r="194" spans="2:14" x14ac:dyDescent="0.2">
      <c r="B194" s="1593"/>
      <c r="C194" s="1592"/>
      <c r="J194" s="1598"/>
      <c r="N194" s="1493"/>
    </row>
    <row r="195" spans="2:14" x14ac:dyDescent="0.2">
      <c r="B195" s="1593"/>
      <c r="C195" s="1592"/>
      <c r="J195" s="1598"/>
      <c r="N195" s="1493"/>
    </row>
    <row r="196" spans="2:14" x14ac:dyDescent="0.2">
      <c r="B196" s="1593"/>
      <c r="C196" s="1592"/>
      <c r="J196" s="1598"/>
      <c r="N196" s="1493"/>
    </row>
    <row r="197" spans="2:14" x14ac:dyDescent="0.2">
      <c r="B197" s="1593"/>
      <c r="C197" s="1592"/>
      <c r="J197" s="1598"/>
      <c r="N197" s="1493"/>
    </row>
    <row r="198" spans="2:14" x14ac:dyDescent="0.2">
      <c r="B198" s="1593"/>
      <c r="C198" s="1592"/>
      <c r="J198" s="1598"/>
      <c r="N198" s="1493"/>
    </row>
    <row r="199" spans="2:14" x14ac:dyDescent="0.2">
      <c r="B199" s="1593"/>
      <c r="C199" s="1592"/>
      <c r="J199" s="1598"/>
      <c r="N199" s="1493"/>
    </row>
    <row r="200" spans="2:14" x14ac:dyDescent="0.2">
      <c r="B200" s="1593"/>
      <c r="C200" s="1592"/>
      <c r="J200" s="1598"/>
      <c r="N200" s="1493"/>
    </row>
    <row r="201" spans="2:14" x14ac:dyDescent="0.2">
      <c r="B201" s="1593"/>
      <c r="C201" s="1592"/>
      <c r="J201" s="1598"/>
      <c r="N201" s="1493"/>
    </row>
    <row r="202" spans="2:14" x14ac:dyDescent="0.2">
      <c r="B202" s="1593"/>
      <c r="C202" s="1592"/>
      <c r="J202" s="1598"/>
      <c r="N202" s="1493"/>
    </row>
    <row r="203" spans="2:14" x14ac:dyDescent="0.2">
      <c r="B203" s="1593"/>
      <c r="C203" s="1592"/>
      <c r="J203" s="1598"/>
      <c r="N203" s="1493"/>
    </row>
    <row r="204" spans="2:14" x14ac:dyDescent="0.2">
      <c r="B204" s="1593"/>
      <c r="C204" s="1592"/>
      <c r="J204" s="1598"/>
      <c r="N204" s="1493"/>
    </row>
    <row r="205" spans="2:14" x14ac:dyDescent="0.2">
      <c r="B205" s="1593"/>
      <c r="C205" s="1592"/>
      <c r="J205" s="1598"/>
      <c r="N205" s="1493"/>
    </row>
    <row r="206" spans="2:14" x14ac:dyDescent="0.2">
      <c r="B206" s="1593"/>
      <c r="C206" s="1592"/>
      <c r="J206" s="1598"/>
      <c r="N206" s="1493"/>
    </row>
    <row r="207" spans="2:14" x14ac:dyDescent="0.2">
      <c r="B207" s="1593"/>
      <c r="C207" s="1592"/>
      <c r="J207" s="1598"/>
      <c r="N207" s="1493"/>
    </row>
    <row r="208" spans="2:14" x14ac:dyDescent="0.2">
      <c r="B208" s="1593"/>
      <c r="C208" s="1592"/>
      <c r="J208" s="1598"/>
      <c r="N208" s="1493"/>
    </row>
    <row r="209" spans="2:14" x14ac:dyDescent="0.2">
      <c r="B209" s="1593"/>
      <c r="C209" s="1592"/>
      <c r="J209" s="1598"/>
      <c r="N209" s="1493"/>
    </row>
    <row r="210" spans="2:14" x14ac:dyDescent="0.2">
      <c r="B210" s="1593"/>
      <c r="C210" s="1592"/>
      <c r="J210" s="1598"/>
      <c r="N210" s="1493"/>
    </row>
    <row r="211" spans="2:14" x14ac:dyDescent="0.2">
      <c r="B211" s="1593"/>
      <c r="C211" s="1592"/>
      <c r="J211" s="1598"/>
      <c r="N211" s="1493"/>
    </row>
    <row r="212" spans="2:14" x14ac:dyDescent="0.2">
      <c r="B212" s="1593"/>
      <c r="C212" s="1592"/>
      <c r="J212" s="1598"/>
      <c r="N212" s="1493"/>
    </row>
    <row r="213" spans="2:14" x14ac:dyDescent="0.2">
      <c r="B213" s="1593"/>
      <c r="C213" s="1592"/>
      <c r="J213" s="1598"/>
      <c r="N213" s="1493"/>
    </row>
    <row r="214" spans="2:14" x14ac:dyDescent="0.2">
      <c r="B214" s="1593"/>
      <c r="C214" s="1592"/>
      <c r="J214" s="1598"/>
      <c r="N214" s="1493"/>
    </row>
    <row r="215" spans="2:14" x14ac:dyDescent="0.2">
      <c r="B215" s="1593"/>
      <c r="C215" s="1592"/>
      <c r="J215" s="1598"/>
      <c r="N215" s="1493"/>
    </row>
    <row r="216" spans="2:14" x14ac:dyDescent="0.2">
      <c r="B216" s="1593"/>
      <c r="C216" s="1592"/>
      <c r="J216" s="1598"/>
      <c r="N216" s="1493"/>
    </row>
    <row r="217" spans="2:14" x14ac:dyDescent="0.2">
      <c r="B217" s="1593"/>
      <c r="C217" s="1592"/>
      <c r="J217" s="1598"/>
      <c r="N217" s="1493"/>
    </row>
    <row r="218" spans="2:14" x14ac:dyDescent="0.2">
      <c r="B218" s="1593"/>
      <c r="C218" s="1592"/>
      <c r="J218" s="1598"/>
      <c r="N218" s="1493"/>
    </row>
    <row r="219" spans="2:14" x14ac:dyDescent="0.2">
      <c r="B219" s="1593"/>
      <c r="C219" s="1592"/>
      <c r="J219" s="1598"/>
      <c r="N219" s="1493"/>
    </row>
    <row r="220" spans="2:14" x14ac:dyDescent="0.2">
      <c r="B220" s="1593"/>
      <c r="C220" s="1592"/>
      <c r="J220" s="1598"/>
      <c r="N220" s="1493"/>
    </row>
    <row r="221" spans="2:14" x14ac:dyDescent="0.2">
      <c r="B221" s="1593"/>
      <c r="C221" s="1592"/>
      <c r="J221" s="1598"/>
      <c r="N221" s="1493"/>
    </row>
    <row r="222" spans="2:14" x14ac:dyDescent="0.2">
      <c r="B222" s="1593"/>
      <c r="C222" s="1592"/>
      <c r="J222" s="1598"/>
      <c r="N222" s="1493"/>
    </row>
    <row r="223" spans="2:14" x14ac:dyDescent="0.2">
      <c r="B223" s="1593"/>
      <c r="C223" s="1592"/>
      <c r="J223" s="1598"/>
      <c r="N223" s="1493"/>
    </row>
    <row r="224" spans="2:14" x14ac:dyDescent="0.2">
      <c r="B224" s="1593"/>
      <c r="C224" s="1592"/>
      <c r="J224" s="1598"/>
      <c r="N224" s="1493"/>
    </row>
    <row r="225" spans="2:14" x14ac:dyDescent="0.2">
      <c r="B225" s="1593"/>
      <c r="C225" s="1592"/>
      <c r="J225" s="1598"/>
      <c r="N225" s="1493"/>
    </row>
    <row r="226" spans="2:14" x14ac:dyDescent="0.2">
      <c r="B226" s="1593"/>
      <c r="C226" s="1592"/>
      <c r="J226" s="1598"/>
      <c r="N226" s="1493"/>
    </row>
    <row r="227" spans="2:14" x14ac:dyDescent="0.2">
      <c r="B227" s="1593"/>
      <c r="C227" s="1592"/>
      <c r="J227" s="1598"/>
      <c r="N227" s="1493"/>
    </row>
    <row r="228" spans="2:14" x14ac:dyDescent="0.2">
      <c r="B228" s="1593"/>
      <c r="C228" s="1592"/>
      <c r="J228" s="1598"/>
      <c r="N228" s="1493"/>
    </row>
    <row r="229" spans="2:14" x14ac:dyDescent="0.2">
      <c r="B229" s="1593"/>
      <c r="C229" s="1592"/>
      <c r="J229" s="1598"/>
      <c r="N229" s="1493"/>
    </row>
    <row r="230" spans="2:14" x14ac:dyDescent="0.2">
      <c r="B230" s="1593"/>
      <c r="C230" s="1592"/>
      <c r="J230" s="1598"/>
      <c r="N230" s="1493"/>
    </row>
    <row r="231" spans="2:14" x14ac:dyDescent="0.2">
      <c r="B231" s="1593"/>
      <c r="C231" s="1592"/>
      <c r="J231" s="1598"/>
      <c r="N231" s="1493"/>
    </row>
    <row r="232" spans="2:14" x14ac:dyDescent="0.2">
      <c r="B232" s="1593"/>
      <c r="C232" s="1592"/>
      <c r="J232" s="1598"/>
      <c r="N232" s="1493"/>
    </row>
    <row r="233" spans="2:14" x14ac:dyDescent="0.2">
      <c r="B233" s="1593"/>
      <c r="C233" s="1592"/>
      <c r="J233" s="1598"/>
      <c r="N233" s="1493"/>
    </row>
    <row r="234" spans="2:14" x14ac:dyDescent="0.2">
      <c r="B234" s="1593"/>
      <c r="C234" s="1592"/>
      <c r="J234" s="1598"/>
      <c r="N234" s="1493"/>
    </row>
    <row r="235" spans="2:14" x14ac:dyDescent="0.2">
      <c r="B235" s="1593"/>
      <c r="C235" s="1592"/>
      <c r="J235" s="1598"/>
      <c r="N235" s="1493"/>
    </row>
    <row r="236" spans="2:14" x14ac:dyDescent="0.2">
      <c r="B236" s="1593"/>
      <c r="C236" s="1592"/>
      <c r="J236" s="1598"/>
      <c r="N236" s="1493"/>
    </row>
    <row r="237" spans="2:14" x14ac:dyDescent="0.2">
      <c r="B237" s="1593"/>
      <c r="C237" s="1592"/>
      <c r="J237" s="1598"/>
      <c r="N237" s="1493"/>
    </row>
    <row r="238" spans="2:14" x14ac:dyDescent="0.2">
      <c r="B238" s="1593"/>
      <c r="C238" s="1592"/>
      <c r="J238" s="1598"/>
      <c r="N238" s="1493"/>
    </row>
    <row r="239" spans="2:14" x14ac:dyDescent="0.2">
      <c r="B239" s="1593"/>
      <c r="C239" s="1592"/>
      <c r="J239" s="1598"/>
      <c r="N239" s="1493"/>
    </row>
    <row r="240" spans="2:14" x14ac:dyDescent="0.2">
      <c r="B240" s="1593"/>
      <c r="C240" s="1592"/>
      <c r="J240" s="1598"/>
      <c r="N240" s="1493"/>
    </row>
    <row r="241" spans="2:14" x14ac:dyDescent="0.2">
      <c r="B241" s="1593"/>
      <c r="C241" s="1592"/>
      <c r="J241" s="1598"/>
      <c r="N241" s="1493"/>
    </row>
    <row r="242" spans="2:14" x14ac:dyDescent="0.2">
      <c r="B242" s="1593"/>
      <c r="C242" s="1592"/>
      <c r="J242" s="1598"/>
      <c r="N242" s="1493"/>
    </row>
    <row r="243" spans="2:14" x14ac:dyDescent="0.2">
      <c r="B243" s="1593"/>
      <c r="C243" s="1592"/>
      <c r="J243" s="1598"/>
      <c r="N243" s="1493"/>
    </row>
    <row r="244" spans="2:14" x14ac:dyDescent="0.2">
      <c r="B244" s="1593"/>
      <c r="C244" s="1592"/>
      <c r="J244" s="1598"/>
      <c r="N244" s="1493"/>
    </row>
    <row r="245" spans="2:14" x14ac:dyDescent="0.2">
      <c r="B245" s="1593"/>
      <c r="C245" s="1592"/>
      <c r="J245" s="1598"/>
      <c r="N245" s="1493"/>
    </row>
    <row r="246" spans="2:14" x14ac:dyDescent="0.2">
      <c r="B246" s="1593"/>
      <c r="C246" s="1592"/>
      <c r="J246" s="1598"/>
      <c r="N246" s="1493"/>
    </row>
    <row r="247" spans="2:14" x14ac:dyDescent="0.2">
      <c r="B247" s="1593"/>
      <c r="C247" s="1592"/>
      <c r="J247" s="1598"/>
      <c r="N247" s="1493"/>
    </row>
    <row r="248" spans="2:14" x14ac:dyDescent="0.2">
      <c r="B248" s="1593"/>
      <c r="C248" s="1592"/>
      <c r="J248" s="1598"/>
      <c r="N248" s="1493"/>
    </row>
    <row r="249" spans="2:14" x14ac:dyDescent="0.2">
      <c r="B249" s="1593"/>
      <c r="C249" s="1592"/>
      <c r="J249" s="1598"/>
      <c r="N249" s="1493"/>
    </row>
    <row r="250" spans="2:14" x14ac:dyDescent="0.2">
      <c r="B250" s="1593"/>
      <c r="C250" s="1592"/>
      <c r="J250" s="1598"/>
      <c r="N250" s="1493"/>
    </row>
    <row r="251" spans="2:14" x14ac:dyDescent="0.2">
      <c r="B251" s="1593"/>
      <c r="C251" s="1592"/>
      <c r="J251" s="1598"/>
      <c r="N251" s="1493"/>
    </row>
    <row r="252" spans="2:14" x14ac:dyDescent="0.2">
      <c r="B252" s="1593"/>
      <c r="C252" s="1592"/>
      <c r="J252" s="1598"/>
      <c r="N252" s="1493"/>
    </row>
    <row r="253" spans="2:14" x14ac:dyDescent="0.2">
      <c r="B253" s="1593"/>
      <c r="C253" s="1592"/>
      <c r="J253" s="1598"/>
      <c r="N253" s="1493"/>
    </row>
    <row r="254" spans="2:14" x14ac:dyDescent="0.2">
      <c r="B254" s="1593"/>
      <c r="C254" s="1592"/>
      <c r="J254" s="1598"/>
      <c r="N254" s="1493"/>
    </row>
    <row r="255" spans="2:14" x14ac:dyDescent="0.2">
      <c r="B255" s="1593"/>
      <c r="C255" s="1592"/>
      <c r="J255" s="1598"/>
      <c r="N255" s="1493"/>
    </row>
    <row r="256" spans="2:14" x14ac:dyDescent="0.2">
      <c r="B256" s="1593"/>
      <c r="C256" s="1592"/>
      <c r="J256" s="1598"/>
      <c r="N256" s="1493"/>
    </row>
    <row r="257" spans="2:14" x14ac:dyDescent="0.2">
      <c r="B257" s="1593"/>
      <c r="C257" s="1592"/>
      <c r="J257" s="1598"/>
      <c r="N257" s="1493"/>
    </row>
    <row r="258" spans="2:14" x14ac:dyDescent="0.2">
      <c r="B258" s="1593"/>
      <c r="C258" s="1592"/>
      <c r="J258" s="1598"/>
      <c r="N258" s="1493"/>
    </row>
    <row r="259" spans="2:14" x14ac:dyDescent="0.2">
      <c r="B259" s="1593"/>
      <c r="C259" s="1592"/>
      <c r="J259" s="1598"/>
      <c r="N259" s="1493"/>
    </row>
    <row r="260" spans="2:14" x14ac:dyDescent="0.2">
      <c r="B260" s="1593"/>
      <c r="C260" s="1592"/>
      <c r="J260" s="1598"/>
      <c r="N260" s="1493"/>
    </row>
    <row r="261" spans="2:14" x14ac:dyDescent="0.2">
      <c r="B261" s="1593"/>
      <c r="C261" s="1592"/>
      <c r="J261" s="1598"/>
      <c r="N261" s="1493"/>
    </row>
    <row r="262" spans="2:14" x14ac:dyDescent="0.2">
      <c r="B262" s="1593"/>
      <c r="C262" s="1592"/>
      <c r="J262" s="1598"/>
      <c r="N262" s="1493"/>
    </row>
    <row r="263" spans="2:14" x14ac:dyDescent="0.2">
      <c r="B263" s="1593"/>
      <c r="C263" s="1592"/>
      <c r="J263" s="1598"/>
      <c r="N263" s="1493"/>
    </row>
    <row r="264" spans="2:14" x14ac:dyDescent="0.2">
      <c r="B264" s="1593"/>
      <c r="C264" s="1592"/>
      <c r="J264" s="1598"/>
      <c r="N264" s="1493"/>
    </row>
    <row r="265" spans="2:14" x14ac:dyDescent="0.2">
      <c r="B265" s="1593"/>
      <c r="C265" s="1592"/>
      <c r="J265" s="1598"/>
      <c r="N265" s="1493"/>
    </row>
    <row r="266" spans="2:14" x14ac:dyDescent="0.2">
      <c r="B266" s="1593"/>
      <c r="C266" s="1592"/>
      <c r="J266" s="1598"/>
      <c r="N266" s="1493"/>
    </row>
    <row r="267" spans="2:14" x14ac:dyDescent="0.2">
      <c r="B267" s="1593"/>
      <c r="C267" s="1592"/>
      <c r="J267" s="1598"/>
      <c r="N267" s="1493"/>
    </row>
    <row r="268" spans="2:14" x14ac:dyDescent="0.2">
      <c r="B268" s="1593"/>
      <c r="C268" s="1592"/>
      <c r="J268" s="1598"/>
      <c r="N268" s="1493"/>
    </row>
    <row r="269" spans="2:14" x14ac:dyDescent="0.2">
      <c r="B269" s="1593"/>
      <c r="C269" s="1592"/>
      <c r="J269" s="1598"/>
      <c r="N269" s="1493"/>
    </row>
    <row r="270" spans="2:14" x14ac:dyDescent="0.2">
      <c r="B270" s="1593"/>
      <c r="C270" s="1592"/>
      <c r="J270" s="1598"/>
      <c r="N270" s="1493"/>
    </row>
    <row r="271" spans="2:14" x14ac:dyDescent="0.2">
      <c r="B271" s="1593"/>
      <c r="C271" s="1592"/>
      <c r="J271" s="1598"/>
      <c r="N271" s="1493"/>
    </row>
    <row r="272" spans="2:14" x14ac:dyDescent="0.2">
      <c r="B272" s="1593"/>
      <c r="C272" s="1592"/>
      <c r="J272" s="1598"/>
      <c r="N272" s="1493"/>
    </row>
    <row r="273" spans="2:14" x14ac:dyDescent="0.2">
      <c r="B273" s="1593"/>
      <c r="C273" s="1592"/>
      <c r="J273" s="1598"/>
      <c r="N273" s="1493"/>
    </row>
    <row r="274" spans="2:14" x14ac:dyDescent="0.2">
      <c r="B274" s="1593"/>
      <c r="C274" s="1592"/>
      <c r="J274" s="1598"/>
      <c r="N274" s="1493"/>
    </row>
    <row r="275" spans="2:14" x14ac:dyDescent="0.2">
      <c r="B275" s="1593"/>
      <c r="C275" s="1592"/>
      <c r="J275" s="1598"/>
      <c r="N275" s="1493"/>
    </row>
    <row r="276" spans="2:14" x14ac:dyDescent="0.2">
      <c r="B276" s="1593"/>
      <c r="C276" s="1592"/>
      <c r="J276" s="1598"/>
      <c r="N276" s="1493"/>
    </row>
    <row r="277" spans="2:14" x14ac:dyDescent="0.2">
      <c r="B277" s="1593"/>
      <c r="C277" s="1592"/>
      <c r="J277" s="1598"/>
      <c r="N277" s="1493"/>
    </row>
    <row r="278" spans="2:14" x14ac:dyDescent="0.2">
      <c r="B278" s="1593"/>
      <c r="C278" s="1592"/>
      <c r="J278" s="1598"/>
      <c r="N278" s="1493"/>
    </row>
    <row r="279" spans="2:14" x14ac:dyDescent="0.2">
      <c r="B279" s="1593"/>
      <c r="C279" s="1592"/>
      <c r="J279" s="1598"/>
      <c r="N279" s="1493"/>
    </row>
    <row r="280" spans="2:14" x14ac:dyDescent="0.2">
      <c r="B280" s="1593"/>
      <c r="C280" s="1592"/>
      <c r="J280" s="1598"/>
      <c r="N280" s="1493"/>
    </row>
    <row r="281" spans="2:14" x14ac:dyDescent="0.2">
      <c r="B281" s="1593"/>
      <c r="C281" s="1592"/>
      <c r="J281" s="1598"/>
      <c r="N281" s="1493"/>
    </row>
    <row r="282" spans="2:14" x14ac:dyDescent="0.2">
      <c r="B282" s="1593"/>
      <c r="C282" s="1592"/>
      <c r="J282" s="1598"/>
      <c r="N282" s="1493"/>
    </row>
    <row r="283" spans="2:14" x14ac:dyDescent="0.2">
      <c r="B283" s="1593"/>
      <c r="C283" s="1592"/>
      <c r="J283" s="1598"/>
      <c r="N283" s="1493"/>
    </row>
    <row r="284" spans="2:14" x14ac:dyDescent="0.2">
      <c r="B284" s="1593"/>
      <c r="C284" s="1592"/>
      <c r="J284" s="1598"/>
      <c r="N284" s="1493"/>
    </row>
    <row r="285" spans="2:14" x14ac:dyDescent="0.2">
      <c r="B285" s="1593"/>
      <c r="C285" s="1592"/>
      <c r="J285" s="1598"/>
      <c r="N285" s="1493"/>
    </row>
    <row r="286" spans="2:14" x14ac:dyDescent="0.2">
      <c r="B286" s="1593"/>
      <c r="C286" s="1592"/>
      <c r="J286" s="1598"/>
      <c r="N286" s="1493"/>
    </row>
    <row r="287" spans="2:14" x14ac:dyDescent="0.2">
      <c r="B287" s="1593"/>
      <c r="C287" s="1592"/>
      <c r="J287" s="1598"/>
      <c r="N287" s="1493"/>
    </row>
    <row r="288" spans="2:14" x14ac:dyDescent="0.2">
      <c r="B288" s="1593"/>
      <c r="C288" s="1592"/>
      <c r="J288" s="1598"/>
      <c r="N288" s="1493"/>
    </row>
    <row r="289" spans="2:14" x14ac:dyDescent="0.2">
      <c r="B289" s="1593"/>
      <c r="C289" s="1592"/>
      <c r="J289" s="1598"/>
      <c r="N289" s="1493"/>
    </row>
    <row r="290" spans="2:14" x14ac:dyDescent="0.2">
      <c r="B290" s="1593"/>
      <c r="C290" s="1592"/>
      <c r="J290" s="1598"/>
      <c r="N290" s="1493"/>
    </row>
    <row r="291" spans="2:14" x14ac:dyDescent="0.2">
      <c r="B291" s="1593"/>
      <c r="C291" s="1592"/>
      <c r="J291" s="1598"/>
      <c r="N291" s="1493"/>
    </row>
    <row r="292" spans="2:14" x14ac:dyDescent="0.2">
      <c r="B292" s="1593"/>
      <c r="C292" s="1592"/>
      <c r="J292" s="1598"/>
      <c r="N292" s="1493"/>
    </row>
    <row r="293" spans="2:14" x14ac:dyDescent="0.2">
      <c r="B293" s="1593"/>
      <c r="C293" s="1592"/>
      <c r="J293" s="1598"/>
      <c r="N293" s="1493"/>
    </row>
    <row r="294" spans="2:14" x14ac:dyDescent="0.2">
      <c r="B294" s="1593"/>
      <c r="C294" s="1592"/>
      <c r="J294" s="1598"/>
      <c r="N294" s="1493"/>
    </row>
    <row r="295" spans="2:14" x14ac:dyDescent="0.2">
      <c r="B295" s="1593"/>
      <c r="C295" s="1592"/>
      <c r="J295" s="1598"/>
      <c r="N295" s="1493"/>
    </row>
    <row r="296" spans="2:14" x14ac:dyDescent="0.2">
      <c r="B296" s="1593"/>
      <c r="C296" s="1592"/>
      <c r="J296" s="1598"/>
      <c r="N296" s="1493"/>
    </row>
    <row r="297" spans="2:14" x14ac:dyDescent="0.2">
      <c r="B297" s="1593"/>
      <c r="C297" s="1592"/>
      <c r="J297" s="1598"/>
      <c r="N297" s="1493"/>
    </row>
    <row r="298" spans="2:14" x14ac:dyDescent="0.2">
      <c r="B298" s="1593"/>
      <c r="C298" s="1592"/>
      <c r="J298" s="1598"/>
      <c r="N298" s="1493"/>
    </row>
    <row r="299" spans="2:14" x14ac:dyDescent="0.2">
      <c r="B299" s="1593"/>
      <c r="C299" s="1592"/>
      <c r="J299" s="1598"/>
      <c r="N299" s="1493"/>
    </row>
    <row r="300" spans="2:14" x14ac:dyDescent="0.2">
      <c r="B300" s="1593"/>
      <c r="C300" s="1592"/>
      <c r="J300" s="1598"/>
      <c r="N300" s="1493"/>
    </row>
    <row r="301" spans="2:14" x14ac:dyDescent="0.2">
      <c r="B301" s="1593"/>
      <c r="C301" s="1592"/>
      <c r="J301" s="1598"/>
      <c r="N301" s="1493"/>
    </row>
    <row r="302" spans="2:14" x14ac:dyDescent="0.2">
      <c r="B302" s="1593"/>
      <c r="C302" s="1592"/>
      <c r="J302" s="1598"/>
      <c r="N302" s="1493"/>
    </row>
    <row r="303" spans="2:14" x14ac:dyDescent="0.2">
      <c r="B303" s="1593"/>
      <c r="C303" s="1592"/>
      <c r="J303" s="1598"/>
      <c r="N303" s="1493"/>
    </row>
    <row r="304" spans="2:14" x14ac:dyDescent="0.2">
      <c r="B304" s="1593"/>
      <c r="C304" s="1592"/>
      <c r="J304" s="1598"/>
      <c r="N304" s="1493"/>
    </row>
    <row r="305" spans="2:14" x14ac:dyDescent="0.2">
      <c r="B305" s="1593"/>
      <c r="C305" s="1592"/>
      <c r="J305" s="1598"/>
      <c r="N305" s="1493"/>
    </row>
    <row r="306" spans="2:14" x14ac:dyDescent="0.2">
      <c r="B306" s="1593"/>
      <c r="C306" s="1592"/>
      <c r="J306" s="1598"/>
      <c r="N306" s="1493"/>
    </row>
    <row r="307" spans="2:14" x14ac:dyDescent="0.2">
      <c r="B307" s="1593"/>
      <c r="C307" s="1592"/>
      <c r="J307" s="1598"/>
      <c r="N307" s="1493"/>
    </row>
    <row r="308" spans="2:14" x14ac:dyDescent="0.2">
      <c r="B308" s="1593"/>
      <c r="C308" s="1592"/>
      <c r="J308" s="1598"/>
      <c r="N308" s="1493"/>
    </row>
    <row r="309" spans="2:14" x14ac:dyDescent="0.2">
      <c r="B309" s="1593"/>
      <c r="C309" s="1592"/>
      <c r="J309" s="1598"/>
      <c r="N309" s="1493"/>
    </row>
    <row r="310" spans="2:14" x14ac:dyDescent="0.2">
      <c r="B310" s="1593"/>
      <c r="C310" s="1592"/>
      <c r="J310" s="1598"/>
      <c r="N310" s="1493"/>
    </row>
    <row r="311" spans="2:14" x14ac:dyDescent="0.2">
      <c r="B311" s="1593"/>
      <c r="C311" s="1592"/>
      <c r="J311" s="1598"/>
      <c r="N311" s="1493"/>
    </row>
    <row r="312" spans="2:14" x14ac:dyDescent="0.2">
      <c r="B312" s="1593"/>
      <c r="C312" s="1592"/>
      <c r="J312" s="1598"/>
      <c r="N312" s="1493"/>
    </row>
    <row r="313" spans="2:14" x14ac:dyDescent="0.2">
      <c r="B313" s="1593"/>
      <c r="C313" s="1592"/>
      <c r="J313" s="1598"/>
      <c r="N313" s="1493"/>
    </row>
    <row r="314" spans="2:14" x14ac:dyDescent="0.2">
      <c r="B314" s="1593"/>
      <c r="C314" s="1592"/>
      <c r="J314" s="1598"/>
      <c r="N314" s="1493"/>
    </row>
    <row r="315" spans="2:14" x14ac:dyDescent="0.2">
      <c r="B315" s="1593"/>
      <c r="C315" s="1592"/>
      <c r="J315" s="1598"/>
      <c r="N315" s="1493"/>
    </row>
    <row r="316" spans="2:14" x14ac:dyDescent="0.2">
      <c r="B316" s="1593"/>
      <c r="C316" s="1592"/>
      <c r="J316" s="1598"/>
      <c r="N316" s="1493"/>
    </row>
    <row r="317" spans="2:14" x14ac:dyDescent="0.2">
      <c r="B317" s="1593"/>
      <c r="C317" s="1592"/>
      <c r="J317" s="1598"/>
      <c r="N317" s="1493"/>
    </row>
    <row r="318" spans="2:14" x14ac:dyDescent="0.2">
      <c r="B318" s="1593"/>
      <c r="C318" s="1592"/>
      <c r="J318" s="1598"/>
      <c r="N318" s="1493"/>
    </row>
    <row r="319" spans="2:14" x14ac:dyDescent="0.2">
      <c r="B319" s="1593"/>
      <c r="C319" s="1592"/>
      <c r="J319" s="1598"/>
      <c r="N319" s="1493"/>
    </row>
    <row r="320" spans="2:14" x14ac:dyDescent="0.2">
      <c r="B320" s="1593"/>
      <c r="C320" s="1592"/>
      <c r="J320" s="1598"/>
      <c r="N320" s="1493"/>
    </row>
    <row r="321" spans="2:14" x14ac:dyDescent="0.2">
      <c r="B321" s="1593"/>
      <c r="C321" s="1592"/>
      <c r="J321" s="1598"/>
      <c r="N321" s="1493"/>
    </row>
    <row r="322" spans="2:14" x14ac:dyDescent="0.2">
      <c r="B322" s="1593"/>
      <c r="C322" s="1592"/>
      <c r="J322" s="1598"/>
      <c r="N322" s="1493"/>
    </row>
    <row r="323" spans="2:14" x14ac:dyDescent="0.2">
      <c r="B323" s="1593"/>
      <c r="C323" s="1592"/>
      <c r="J323" s="1598"/>
      <c r="N323" s="1493"/>
    </row>
    <row r="324" spans="2:14" x14ac:dyDescent="0.2">
      <c r="B324" s="1593"/>
      <c r="C324" s="1592"/>
      <c r="J324" s="1598"/>
      <c r="N324" s="1493"/>
    </row>
    <row r="325" spans="2:14" x14ac:dyDescent="0.2">
      <c r="B325" s="1593"/>
      <c r="C325" s="1592"/>
      <c r="J325" s="1598"/>
      <c r="N325" s="1493"/>
    </row>
    <row r="326" spans="2:14" x14ac:dyDescent="0.2">
      <c r="B326" s="1593"/>
      <c r="C326" s="1592"/>
      <c r="J326" s="1598"/>
      <c r="N326" s="1493"/>
    </row>
    <row r="327" spans="2:14" x14ac:dyDescent="0.2">
      <c r="B327" s="1593"/>
      <c r="C327" s="1592"/>
      <c r="J327" s="1598"/>
      <c r="N327" s="1493"/>
    </row>
    <row r="328" spans="2:14" x14ac:dyDescent="0.2">
      <c r="B328" s="1593"/>
      <c r="C328" s="1592"/>
      <c r="J328" s="1598"/>
      <c r="N328" s="1493"/>
    </row>
    <row r="329" spans="2:14" x14ac:dyDescent="0.2">
      <c r="B329" s="1593"/>
      <c r="C329" s="1592"/>
      <c r="J329" s="1598"/>
      <c r="N329" s="1493"/>
    </row>
    <row r="330" spans="2:14" x14ac:dyDescent="0.2">
      <c r="B330" s="1593"/>
      <c r="C330" s="1592"/>
      <c r="J330" s="1598"/>
      <c r="N330" s="1493"/>
    </row>
    <row r="331" spans="2:14" x14ac:dyDescent="0.2">
      <c r="B331" s="1593"/>
      <c r="C331" s="1592"/>
      <c r="J331" s="1598"/>
      <c r="N331" s="1493"/>
    </row>
    <row r="332" spans="2:14" x14ac:dyDescent="0.2">
      <c r="B332" s="1593"/>
      <c r="C332" s="1592"/>
      <c r="J332" s="1598"/>
      <c r="N332" s="1493"/>
    </row>
    <row r="333" spans="2:14" x14ac:dyDescent="0.2">
      <c r="B333" s="1593"/>
      <c r="C333" s="1592"/>
      <c r="J333" s="1598"/>
      <c r="N333" s="1493"/>
    </row>
    <row r="334" spans="2:14" x14ac:dyDescent="0.2">
      <c r="B334" s="1593"/>
      <c r="C334" s="1592"/>
      <c r="J334" s="1598"/>
      <c r="N334" s="1493"/>
    </row>
    <row r="335" spans="2:14" x14ac:dyDescent="0.2">
      <c r="B335" s="1593"/>
      <c r="C335" s="1592"/>
      <c r="J335" s="1598"/>
      <c r="N335" s="1493"/>
    </row>
    <row r="336" spans="2:14" x14ac:dyDescent="0.2">
      <c r="B336" s="1593"/>
      <c r="C336" s="1592"/>
      <c r="J336" s="1598"/>
      <c r="N336" s="1493"/>
    </row>
    <row r="337" spans="2:14" x14ac:dyDescent="0.2">
      <c r="B337" s="1593"/>
      <c r="C337" s="1592"/>
      <c r="J337" s="1598"/>
      <c r="N337" s="1493"/>
    </row>
    <row r="338" spans="2:14" x14ac:dyDescent="0.2">
      <c r="B338" s="1593"/>
      <c r="C338" s="1592"/>
      <c r="J338" s="1598"/>
      <c r="N338" s="1493"/>
    </row>
    <row r="339" spans="2:14" x14ac:dyDescent="0.2">
      <c r="B339" s="1593"/>
      <c r="C339" s="1592"/>
      <c r="J339" s="1598"/>
      <c r="N339" s="1493"/>
    </row>
    <row r="340" spans="2:14" x14ac:dyDescent="0.2">
      <c r="B340" s="1593"/>
      <c r="C340" s="1592"/>
      <c r="J340" s="1598"/>
      <c r="N340" s="1493"/>
    </row>
    <row r="341" spans="2:14" x14ac:dyDescent="0.2">
      <c r="B341" s="1593"/>
      <c r="C341" s="1592"/>
      <c r="J341" s="1598"/>
      <c r="N341" s="1493"/>
    </row>
    <row r="342" spans="2:14" x14ac:dyDescent="0.2">
      <c r="B342" s="1593"/>
      <c r="C342" s="1592"/>
      <c r="J342" s="1598"/>
      <c r="N342" s="1493"/>
    </row>
    <row r="343" spans="2:14" x14ac:dyDescent="0.2">
      <c r="B343" s="1593"/>
      <c r="C343" s="1592"/>
      <c r="J343" s="1598"/>
      <c r="N343" s="1493"/>
    </row>
    <row r="344" spans="2:14" x14ac:dyDescent="0.2">
      <c r="B344" s="1593"/>
      <c r="C344" s="1592"/>
      <c r="J344" s="1598"/>
      <c r="N344" s="1493"/>
    </row>
    <row r="345" spans="2:14" x14ac:dyDescent="0.2">
      <c r="B345" s="1593"/>
      <c r="C345" s="1592"/>
      <c r="J345" s="1598"/>
      <c r="N345" s="1493"/>
    </row>
    <row r="346" spans="2:14" x14ac:dyDescent="0.2">
      <c r="B346" s="1593"/>
      <c r="C346" s="1592"/>
      <c r="J346" s="1598"/>
      <c r="N346" s="1493"/>
    </row>
    <row r="347" spans="2:14" x14ac:dyDescent="0.2">
      <c r="B347" s="1593"/>
      <c r="C347" s="1592"/>
      <c r="J347" s="1598"/>
      <c r="N347" s="1493"/>
    </row>
    <row r="348" spans="2:14" x14ac:dyDescent="0.2">
      <c r="B348" s="1593"/>
      <c r="C348" s="1592"/>
      <c r="J348" s="1598"/>
      <c r="N348" s="1493"/>
    </row>
    <row r="349" spans="2:14" x14ac:dyDescent="0.2">
      <c r="B349" s="1593"/>
      <c r="C349" s="1592"/>
      <c r="J349" s="1598"/>
      <c r="N349" s="1493"/>
    </row>
    <row r="350" spans="2:14" x14ac:dyDescent="0.2">
      <c r="B350" s="1593"/>
      <c r="C350" s="1592"/>
      <c r="J350" s="1598"/>
      <c r="N350" s="1493"/>
    </row>
    <row r="351" spans="2:14" x14ac:dyDescent="0.2">
      <c r="B351" s="1593"/>
      <c r="C351" s="1592"/>
      <c r="J351" s="1598"/>
      <c r="N351" s="1493"/>
    </row>
    <row r="352" spans="2:14" x14ac:dyDescent="0.2">
      <c r="B352" s="1593"/>
      <c r="C352" s="1592"/>
      <c r="J352" s="1598"/>
      <c r="N352" s="1493"/>
    </row>
    <row r="353" spans="2:14" x14ac:dyDescent="0.2">
      <c r="B353" s="1593"/>
      <c r="C353" s="1592"/>
      <c r="J353" s="1598"/>
      <c r="N353" s="1493"/>
    </row>
    <row r="354" spans="2:14" x14ac:dyDescent="0.2">
      <c r="B354" s="1593"/>
      <c r="C354" s="1592"/>
      <c r="J354" s="1598"/>
      <c r="N354" s="1493"/>
    </row>
    <row r="355" spans="2:14" x14ac:dyDescent="0.2">
      <c r="B355" s="1593"/>
      <c r="C355" s="1592"/>
      <c r="J355" s="1598"/>
      <c r="N355" s="1493"/>
    </row>
    <row r="356" spans="2:14" x14ac:dyDescent="0.2">
      <c r="B356" s="1593"/>
      <c r="C356" s="1592"/>
      <c r="J356" s="1598"/>
      <c r="N356" s="1493"/>
    </row>
    <row r="357" spans="2:14" x14ac:dyDescent="0.2">
      <c r="B357" s="1593"/>
      <c r="C357" s="1592"/>
      <c r="J357" s="1598"/>
      <c r="N357" s="1493"/>
    </row>
    <row r="358" spans="2:14" x14ac:dyDescent="0.2">
      <c r="B358" s="1593"/>
      <c r="C358" s="1592"/>
      <c r="J358" s="1598"/>
      <c r="N358" s="1493"/>
    </row>
    <row r="359" spans="2:14" x14ac:dyDescent="0.2">
      <c r="B359" s="1593"/>
      <c r="C359" s="1592"/>
      <c r="J359" s="1598"/>
      <c r="N359" s="1493"/>
    </row>
    <row r="360" spans="2:14" x14ac:dyDescent="0.2">
      <c r="B360" s="1593"/>
      <c r="C360" s="1592"/>
      <c r="J360" s="1598"/>
      <c r="N360" s="1493"/>
    </row>
    <row r="361" spans="2:14" x14ac:dyDescent="0.2">
      <c r="B361" s="1593"/>
      <c r="C361" s="1592"/>
      <c r="J361" s="1598"/>
      <c r="N361" s="1493"/>
    </row>
    <row r="362" spans="2:14" x14ac:dyDescent="0.2">
      <c r="B362" s="1593"/>
      <c r="C362" s="1592"/>
      <c r="J362" s="1598"/>
      <c r="N362" s="1493"/>
    </row>
    <row r="363" spans="2:14" x14ac:dyDescent="0.2">
      <c r="B363" s="1593"/>
      <c r="C363" s="1592"/>
      <c r="J363" s="1598"/>
      <c r="N363" s="1493"/>
    </row>
    <row r="364" spans="2:14" x14ac:dyDescent="0.2">
      <c r="B364" s="1593"/>
      <c r="C364" s="1592"/>
      <c r="J364" s="1598"/>
      <c r="N364" s="1493"/>
    </row>
    <row r="365" spans="2:14" x14ac:dyDescent="0.2">
      <c r="B365" s="1593"/>
      <c r="C365" s="1592"/>
      <c r="J365" s="1598"/>
      <c r="N365" s="1493"/>
    </row>
    <row r="366" spans="2:14" x14ac:dyDescent="0.2">
      <c r="B366" s="1593"/>
      <c r="C366" s="1592"/>
      <c r="J366" s="1598"/>
      <c r="N366" s="1493"/>
    </row>
    <row r="367" spans="2:14" x14ac:dyDescent="0.2">
      <c r="B367" s="1593"/>
      <c r="C367" s="1592"/>
      <c r="J367" s="1598"/>
      <c r="N367" s="1493"/>
    </row>
    <row r="368" spans="2:14" x14ac:dyDescent="0.2">
      <c r="B368" s="1593"/>
      <c r="C368" s="1592"/>
      <c r="J368" s="1598"/>
      <c r="N368" s="1493"/>
    </row>
    <row r="369" spans="2:14" x14ac:dyDescent="0.2">
      <c r="B369" s="1593"/>
      <c r="C369" s="1592"/>
      <c r="J369" s="1598"/>
      <c r="N369" s="1493"/>
    </row>
    <row r="370" spans="2:14" x14ac:dyDescent="0.2">
      <c r="B370" s="1593"/>
      <c r="C370" s="1592"/>
      <c r="J370" s="1598"/>
      <c r="N370" s="1493"/>
    </row>
    <row r="371" spans="2:14" x14ac:dyDescent="0.2">
      <c r="B371" s="1593"/>
      <c r="C371" s="1592"/>
      <c r="J371" s="1598"/>
      <c r="N371" s="1493"/>
    </row>
    <row r="372" spans="2:14" x14ac:dyDescent="0.2">
      <c r="B372" s="1593"/>
      <c r="C372" s="1592"/>
      <c r="J372" s="1598"/>
      <c r="N372" s="1493"/>
    </row>
    <row r="373" spans="2:14" x14ac:dyDescent="0.2">
      <c r="B373" s="1593"/>
      <c r="C373" s="1592"/>
      <c r="J373" s="1598"/>
      <c r="N373" s="1493"/>
    </row>
    <row r="374" spans="2:14" x14ac:dyDescent="0.2">
      <c r="B374" s="1593"/>
      <c r="C374" s="1592"/>
      <c r="J374" s="1598"/>
      <c r="N374" s="1493"/>
    </row>
    <row r="375" spans="2:14" x14ac:dyDescent="0.2">
      <c r="B375" s="1593"/>
      <c r="C375" s="1592"/>
      <c r="J375" s="1598"/>
      <c r="N375" s="1493"/>
    </row>
    <row r="376" spans="2:14" x14ac:dyDescent="0.2">
      <c r="B376" s="1593"/>
      <c r="C376" s="1592"/>
      <c r="J376" s="1598"/>
      <c r="N376" s="1493"/>
    </row>
    <row r="377" spans="2:14" x14ac:dyDescent="0.2">
      <c r="B377" s="1593"/>
      <c r="C377" s="1592"/>
      <c r="J377" s="1598"/>
      <c r="N377" s="1493"/>
    </row>
    <row r="378" spans="2:14" x14ac:dyDescent="0.2">
      <c r="B378" s="1593"/>
      <c r="C378" s="1592"/>
      <c r="J378" s="1598"/>
      <c r="N378" s="1493"/>
    </row>
    <row r="379" spans="2:14" x14ac:dyDescent="0.2">
      <c r="B379" s="1593"/>
      <c r="C379" s="1592"/>
      <c r="J379" s="1598"/>
      <c r="N379" s="1493"/>
    </row>
    <row r="380" spans="2:14" x14ac:dyDescent="0.2">
      <c r="B380" s="1593"/>
      <c r="C380" s="1592"/>
      <c r="J380" s="1598"/>
      <c r="N380" s="1493"/>
    </row>
    <row r="381" spans="2:14" x14ac:dyDescent="0.2">
      <c r="B381" s="1593"/>
      <c r="C381" s="1592"/>
      <c r="J381" s="1598"/>
      <c r="N381" s="1493"/>
    </row>
    <row r="382" spans="2:14" x14ac:dyDescent="0.2">
      <c r="B382" s="1593"/>
      <c r="C382" s="1592"/>
      <c r="J382" s="1598"/>
      <c r="N382" s="1493"/>
    </row>
    <row r="383" spans="2:14" x14ac:dyDescent="0.2">
      <c r="B383" s="1593"/>
      <c r="C383" s="1592"/>
      <c r="J383" s="1598"/>
      <c r="N383" s="1493"/>
    </row>
    <row r="384" spans="2:14" x14ac:dyDescent="0.2">
      <c r="B384" s="1593"/>
      <c r="C384" s="1592"/>
      <c r="J384" s="1598"/>
      <c r="N384" s="1493"/>
    </row>
    <row r="385" spans="2:14" x14ac:dyDescent="0.2">
      <c r="B385" s="1593"/>
      <c r="C385" s="1592"/>
      <c r="J385" s="1598"/>
      <c r="N385" s="1493"/>
    </row>
    <row r="386" spans="2:14" x14ac:dyDescent="0.2">
      <c r="B386" s="1593"/>
      <c r="C386" s="1592"/>
      <c r="J386" s="1598"/>
      <c r="N386" s="1493"/>
    </row>
    <row r="387" spans="2:14" x14ac:dyDescent="0.2">
      <c r="B387" s="1593"/>
      <c r="C387" s="1592"/>
      <c r="J387" s="1598"/>
      <c r="N387" s="1493"/>
    </row>
    <row r="388" spans="2:14" x14ac:dyDescent="0.2">
      <c r="B388" s="1593"/>
      <c r="C388" s="1592"/>
      <c r="J388" s="1598"/>
      <c r="N388" s="1493"/>
    </row>
    <row r="389" spans="2:14" x14ac:dyDescent="0.2">
      <c r="B389" s="1593"/>
      <c r="C389" s="1592"/>
      <c r="J389" s="1598"/>
      <c r="N389" s="1493"/>
    </row>
    <row r="390" spans="2:14" x14ac:dyDescent="0.2">
      <c r="B390" s="1593"/>
      <c r="C390" s="1592"/>
      <c r="J390" s="1598"/>
      <c r="N390" s="1493"/>
    </row>
    <row r="391" spans="2:14" x14ac:dyDescent="0.2">
      <c r="B391" s="1593"/>
      <c r="C391" s="1592"/>
      <c r="J391" s="1598"/>
      <c r="N391" s="1493"/>
    </row>
    <row r="392" spans="2:14" x14ac:dyDescent="0.2">
      <c r="B392" s="1593"/>
      <c r="C392" s="1592"/>
      <c r="J392" s="1598"/>
      <c r="N392" s="1493"/>
    </row>
    <row r="393" spans="2:14" x14ac:dyDescent="0.2">
      <c r="B393" s="1593"/>
      <c r="C393" s="1592"/>
      <c r="J393" s="1598"/>
      <c r="N393" s="1493"/>
    </row>
    <row r="394" spans="2:14" x14ac:dyDescent="0.2">
      <c r="B394" s="1593"/>
      <c r="C394" s="1592"/>
      <c r="J394" s="1598"/>
      <c r="N394" s="1493"/>
    </row>
    <row r="395" spans="2:14" x14ac:dyDescent="0.2">
      <c r="B395" s="1593"/>
      <c r="C395" s="1592"/>
      <c r="J395" s="1598"/>
      <c r="N395" s="1493"/>
    </row>
    <row r="396" spans="2:14" x14ac:dyDescent="0.2">
      <c r="B396" s="1593"/>
      <c r="C396" s="1592"/>
      <c r="J396" s="1598"/>
      <c r="N396" s="1493"/>
    </row>
    <row r="397" spans="2:14" x14ac:dyDescent="0.2">
      <c r="B397" s="1593"/>
      <c r="C397" s="1592"/>
      <c r="J397" s="1598"/>
      <c r="N397" s="1493"/>
    </row>
    <row r="398" spans="2:14" x14ac:dyDescent="0.2">
      <c r="B398" s="1593"/>
      <c r="C398" s="1592"/>
      <c r="J398" s="1598"/>
      <c r="N398" s="1493"/>
    </row>
    <row r="399" spans="2:14" x14ac:dyDescent="0.2">
      <c r="B399" s="1593"/>
      <c r="C399" s="1592"/>
      <c r="J399" s="1598"/>
      <c r="N399" s="1493"/>
    </row>
    <row r="400" spans="2:14" x14ac:dyDescent="0.2">
      <c r="B400" s="1593"/>
      <c r="C400" s="1592"/>
      <c r="J400" s="1598"/>
      <c r="N400" s="1493"/>
    </row>
    <row r="401" spans="2:14" x14ac:dyDescent="0.2">
      <c r="B401" s="1593"/>
      <c r="C401" s="1592"/>
      <c r="J401" s="1598"/>
      <c r="N401" s="1493"/>
    </row>
    <row r="402" spans="2:14" x14ac:dyDescent="0.2">
      <c r="B402" s="1593"/>
      <c r="C402" s="1592"/>
      <c r="J402" s="1598"/>
      <c r="N402" s="1493"/>
    </row>
    <row r="403" spans="2:14" x14ac:dyDescent="0.2">
      <c r="B403" s="1593"/>
      <c r="C403" s="1592"/>
      <c r="J403" s="1598"/>
      <c r="N403" s="1493"/>
    </row>
    <row r="404" spans="2:14" x14ac:dyDescent="0.2">
      <c r="B404" s="1593"/>
      <c r="C404" s="1592"/>
      <c r="J404" s="1598"/>
      <c r="N404" s="1493"/>
    </row>
    <row r="405" spans="2:14" x14ac:dyDescent="0.2">
      <c r="B405" s="1593"/>
      <c r="C405" s="1592"/>
      <c r="J405" s="1598"/>
      <c r="N405" s="1493"/>
    </row>
    <row r="406" spans="2:14" x14ac:dyDescent="0.2">
      <c r="B406" s="1593"/>
      <c r="C406" s="1592"/>
      <c r="J406" s="1598"/>
      <c r="N406" s="1493"/>
    </row>
    <row r="407" spans="2:14" x14ac:dyDescent="0.2">
      <c r="B407" s="1593"/>
      <c r="C407" s="1592"/>
      <c r="J407" s="1598"/>
      <c r="N407" s="1493"/>
    </row>
    <row r="408" spans="2:14" x14ac:dyDescent="0.2">
      <c r="B408" s="1593"/>
      <c r="C408" s="1592"/>
      <c r="J408" s="1598"/>
      <c r="N408" s="1493"/>
    </row>
    <row r="409" spans="2:14" x14ac:dyDescent="0.2">
      <c r="B409" s="1593"/>
      <c r="C409" s="1592"/>
      <c r="J409" s="1598"/>
      <c r="N409" s="1493"/>
    </row>
    <row r="410" spans="2:14" x14ac:dyDescent="0.2">
      <c r="B410" s="1593"/>
      <c r="C410" s="1592"/>
      <c r="J410" s="1598"/>
      <c r="N410" s="1493"/>
    </row>
    <row r="411" spans="2:14" x14ac:dyDescent="0.2">
      <c r="B411" s="1593"/>
      <c r="C411" s="1592"/>
      <c r="J411" s="1598"/>
      <c r="N411" s="1493"/>
    </row>
    <row r="412" spans="2:14" x14ac:dyDescent="0.2">
      <c r="B412" s="1593"/>
      <c r="C412" s="1592"/>
      <c r="J412" s="1598"/>
      <c r="N412" s="1493"/>
    </row>
    <row r="413" spans="2:14" x14ac:dyDescent="0.2">
      <c r="B413" s="1593"/>
      <c r="C413" s="1592"/>
      <c r="J413" s="1598"/>
      <c r="N413" s="1493"/>
    </row>
    <row r="414" spans="2:14" x14ac:dyDescent="0.2">
      <c r="B414" s="1593"/>
      <c r="C414" s="1592"/>
      <c r="J414" s="1598"/>
      <c r="N414" s="1493"/>
    </row>
    <row r="415" spans="2:14" x14ac:dyDescent="0.2">
      <c r="B415" s="1593"/>
      <c r="C415" s="1592"/>
      <c r="J415" s="1598"/>
      <c r="N415" s="1493"/>
    </row>
    <row r="416" spans="2:14" x14ac:dyDescent="0.2">
      <c r="B416" s="1593"/>
      <c r="C416" s="1592"/>
      <c r="J416" s="1598"/>
      <c r="N416" s="1493"/>
    </row>
    <row r="417" spans="2:14" x14ac:dyDescent="0.2">
      <c r="B417" s="1593"/>
      <c r="C417" s="1592"/>
      <c r="J417" s="1598"/>
      <c r="N417" s="1493"/>
    </row>
    <row r="418" spans="2:14" x14ac:dyDescent="0.2">
      <c r="B418" s="1593"/>
      <c r="C418" s="1592"/>
      <c r="J418" s="1598"/>
      <c r="N418" s="1493"/>
    </row>
    <row r="419" spans="2:14" x14ac:dyDescent="0.2">
      <c r="B419" s="1593"/>
      <c r="C419" s="1592"/>
      <c r="J419" s="1598"/>
      <c r="N419" s="1493"/>
    </row>
    <row r="420" spans="2:14" x14ac:dyDescent="0.2">
      <c r="B420" s="1593"/>
      <c r="C420" s="1592"/>
      <c r="J420" s="1598"/>
      <c r="N420" s="1493"/>
    </row>
    <row r="421" spans="2:14" x14ac:dyDescent="0.2">
      <c r="B421" s="1593"/>
      <c r="C421" s="1592"/>
      <c r="J421" s="1598"/>
      <c r="N421" s="1493"/>
    </row>
    <row r="422" spans="2:14" x14ac:dyDescent="0.2">
      <c r="B422" s="1593"/>
      <c r="C422" s="1592"/>
      <c r="J422" s="1598"/>
      <c r="N422" s="1493"/>
    </row>
    <row r="423" spans="2:14" x14ac:dyDescent="0.2">
      <c r="B423" s="1593"/>
      <c r="C423" s="1592"/>
      <c r="J423" s="1598"/>
      <c r="N423" s="1493"/>
    </row>
    <row r="424" spans="2:14" x14ac:dyDescent="0.2">
      <c r="B424" s="1593"/>
      <c r="C424" s="1592"/>
      <c r="J424" s="1598"/>
      <c r="N424" s="1493"/>
    </row>
    <row r="425" spans="2:14" x14ac:dyDescent="0.2">
      <c r="B425" s="1593"/>
      <c r="C425" s="1592"/>
      <c r="J425" s="1598"/>
      <c r="N425" s="1493"/>
    </row>
    <row r="426" spans="2:14" x14ac:dyDescent="0.2">
      <c r="B426" s="1593"/>
      <c r="C426" s="1592"/>
      <c r="J426" s="1598"/>
      <c r="N426" s="1493"/>
    </row>
    <row r="427" spans="2:14" x14ac:dyDescent="0.2">
      <c r="B427" s="1593"/>
      <c r="C427" s="1592"/>
      <c r="J427" s="1598"/>
      <c r="N427" s="1493"/>
    </row>
    <row r="428" spans="2:14" x14ac:dyDescent="0.2">
      <c r="B428" s="1593"/>
      <c r="C428" s="1592"/>
      <c r="J428" s="1598"/>
      <c r="N428" s="1493"/>
    </row>
    <row r="429" spans="2:14" x14ac:dyDescent="0.2">
      <c r="B429" s="1593"/>
      <c r="C429" s="1592"/>
      <c r="J429" s="1598"/>
      <c r="N429" s="1493"/>
    </row>
    <row r="430" spans="2:14" x14ac:dyDescent="0.2">
      <c r="B430" s="1593"/>
      <c r="C430" s="1592"/>
      <c r="J430" s="1598"/>
      <c r="N430" s="1493"/>
    </row>
    <row r="431" spans="2:14" x14ac:dyDescent="0.2">
      <c r="B431" s="1593"/>
      <c r="C431" s="1592"/>
      <c r="J431" s="1598"/>
      <c r="N431" s="1493"/>
    </row>
    <row r="432" spans="2:14" x14ac:dyDescent="0.2">
      <c r="B432" s="1593"/>
      <c r="C432" s="1592"/>
      <c r="J432" s="1598"/>
      <c r="N432" s="1493"/>
    </row>
    <row r="433" spans="2:14" x14ac:dyDescent="0.2">
      <c r="B433" s="1593"/>
      <c r="C433" s="1592"/>
      <c r="J433" s="1598"/>
      <c r="N433" s="1493"/>
    </row>
    <row r="434" spans="2:14" x14ac:dyDescent="0.2">
      <c r="B434" s="1593"/>
      <c r="C434" s="1592"/>
      <c r="J434" s="1598"/>
      <c r="N434" s="1493"/>
    </row>
    <row r="435" spans="2:14" x14ac:dyDescent="0.2">
      <c r="B435" s="1593"/>
      <c r="C435" s="1592"/>
      <c r="J435" s="1598"/>
      <c r="N435" s="1493"/>
    </row>
    <row r="436" spans="2:14" x14ac:dyDescent="0.2">
      <c r="B436" s="1593"/>
      <c r="C436" s="1592"/>
      <c r="J436" s="1598"/>
      <c r="N436" s="1493"/>
    </row>
    <row r="437" spans="2:14" x14ac:dyDescent="0.2">
      <c r="B437" s="1593"/>
      <c r="C437" s="1592"/>
      <c r="J437" s="1598"/>
      <c r="N437" s="1493"/>
    </row>
    <row r="438" spans="2:14" x14ac:dyDescent="0.2">
      <c r="B438" s="1593"/>
      <c r="C438" s="1592"/>
      <c r="J438" s="1598"/>
      <c r="N438" s="1493"/>
    </row>
    <row r="439" spans="2:14" x14ac:dyDescent="0.2">
      <c r="B439" s="1593"/>
      <c r="C439" s="1592"/>
      <c r="J439" s="1598"/>
      <c r="N439" s="1493"/>
    </row>
    <row r="440" spans="2:14" x14ac:dyDescent="0.2">
      <c r="B440" s="1593"/>
      <c r="C440" s="1592"/>
      <c r="J440" s="1598"/>
      <c r="N440" s="1493"/>
    </row>
    <row r="441" spans="2:14" x14ac:dyDescent="0.2">
      <c r="B441" s="1593"/>
      <c r="C441" s="1592"/>
      <c r="J441" s="1598"/>
      <c r="N441" s="1493"/>
    </row>
    <row r="442" spans="2:14" x14ac:dyDescent="0.2">
      <c r="B442" s="1593"/>
      <c r="C442" s="1592"/>
      <c r="J442" s="1598"/>
      <c r="N442" s="1493"/>
    </row>
    <row r="443" spans="2:14" x14ac:dyDescent="0.2">
      <c r="B443" s="1593"/>
      <c r="C443" s="1592"/>
      <c r="J443" s="1598"/>
      <c r="N443" s="1493"/>
    </row>
    <row r="444" spans="2:14" x14ac:dyDescent="0.2">
      <c r="B444" s="1593"/>
      <c r="C444" s="1592"/>
      <c r="J444" s="1598"/>
      <c r="N444" s="1493"/>
    </row>
    <row r="445" spans="2:14" x14ac:dyDescent="0.2">
      <c r="B445" s="1593"/>
      <c r="C445" s="1592"/>
      <c r="J445" s="1598"/>
      <c r="N445" s="1493"/>
    </row>
    <row r="446" spans="2:14" x14ac:dyDescent="0.2">
      <c r="B446" s="1593"/>
      <c r="C446" s="1592"/>
      <c r="J446" s="1598"/>
      <c r="N446" s="1493"/>
    </row>
    <row r="447" spans="2:14" x14ac:dyDescent="0.2">
      <c r="B447" s="1593"/>
      <c r="C447" s="1592"/>
      <c r="J447" s="1598"/>
      <c r="N447" s="1493"/>
    </row>
    <row r="448" spans="2:14" x14ac:dyDescent="0.2">
      <c r="B448" s="1593"/>
      <c r="C448" s="1592"/>
      <c r="J448" s="1598"/>
      <c r="N448" s="1493"/>
    </row>
    <row r="449" spans="2:14" x14ac:dyDescent="0.2">
      <c r="B449" s="1593"/>
      <c r="C449" s="1592"/>
      <c r="J449" s="1598"/>
      <c r="N449" s="1493"/>
    </row>
    <row r="450" spans="2:14" x14ac:dyDescent="0.2">
      <c r="B450" s="1593"/>
      <c r="C450" s="1592"/>
      <c r="J450" s="1598"/>
      <c r="N450" s="1493"/>
    </row>
    <row r="451" spans="2:14" x14ac:dyDescent="0.2">
      <c r="B451" s="1593"/>
      <c r="C451" s="1592"/>
      <c r="J451" s="1598"/>
      <c r="N451" s="1493"/>
    </row>
    <row r="452" spans="2:14" x14ac:dyDescent="0.2">
      <c r="B452" s="1593"/>
      <c r="C452" s="1592"/>
      <c r="J452" s="1598"/>
      <c r="N452" s="1493"/>
    </row>
    <row r="453" spans="2:14" x14ac:dyDescent="0.2">
      <c r="B453" s="1593"/>
      <c r="C453" s="1592"/>
      <c r="J453" s="1598"/>
      <c r="N453" s="1493"/>
    </row>
    <row r="454" spans="2:14" x14ac:dyDescent="0.2">
      <c r="B454" s="1593"/>
      <c r="C454" s="1592"/>
      <c r="J454" s="1598"/>
      <c r="N454" s="1493"/>
    </row>
    <row r="455" spans="2:14" x14ac:dyDescent="0.2">
      <c r="B455" s="1593"/>
      <c r="C455" s="1592"/>
      <c r="J455" s="1598"/>
      <c r="N455" s="1493"/>
    </row>
    <row r="456" spans="2:14" x14ac:dyDescent="0.2">
      <c r="B456" s="1593"/>
      <c r="C456" s="1592"/>
      <c r="J456" s="1598"/>
      <c r="N456" s="1493"/>
    </row>
    <row r="457" spans="2:14" x14ac:dyDescent="0.2">
      <c r="B457" s="1593"/>
      <c r="C457" s="1592"/>
      <c r="J457" s="1598"/>
      <c r="N457" s="1493"/>
    </row>
    <row r="458" spans="2:14" x14ac:dyDescent="0.2">
      <c r="B458" s="1593"/>
      <c r="C458" s="1592"/>
      <c r="J458" s="1598"/>
      <c r="N458" s="1493"/>
    </row>
    <row r="459" spans="2:14" x14ac:dyDescent="0.2">
      <c r="B459" s="1593"/>
      <c r="C459" s="1592"/>
      <c r="J459" s="1598"/>
      <c r="N459" s="1493"/>
    </row>
    <row r="460" spans="2:14" x14ac:dyDescent="0.2">
      <c r="B460" s="1593"/>
      <c r="C460" s="1592"/>
      <c r="J460" s="1598"/>
      <c r="N460" s="1493"/>
    </row>
    <row r="461" spans="2:14" x14ac:dyDescent="0.2">
      <c r="B461" s="1593"/>
      <c r="C461" s="1592"/>
      <c r="J461" s="1598"/>
      <c r="N461" s="1493"/>
    </row>
    <row r="462" spans="2:14" x14ac:dyDescent="0.2">
      <c r="B462" s="1593"/>
      <c r="C462" s="1592"/>
      <c r="J462" s="1598"/>
      <c r="N462" s="1493"/>
    </row>
    <row r="463" spans="2:14" x14ac:dyDescent="0.2">
      <c r="B463" s="1593"/>
      <c r="C463" s="1592"/>
      <c r="J463" s="1598"/>
      <c r="N463" s="1493"/>
    </row>
    <row r="464" spans="2:14" x14ac:dyDescent="0.2">
      <c r="B464" s="1593"/>
      <c r="C464" s="1592"/>
      <c r="J464" s="1598"/>
      <c r="N464" s="1493"/>
    </row>
    <row r="465" spans="2:14" x14ac:dyDescent="0.2">
      <c r="B465" s="1593"/>
      <c r="C465" s="1592"/>
      <c r="J465" s="1598"/>
      <c r="N465" s="1493"/>
    </row>
    <row r="466" spans="2:14" x14ac:dyDescent="0.2">
      <c r="B466" s="1593"/>
      <c r="C466" s="1592"/>
      <c r="J466" s="1598"/>
      <c r="N466" s="1493"/>
    </row>
    <row r="467" spans="2:14" x14ac:dyDescent="0.2">
      <c r="B467" s="1593"/>
      <c r="C467" s="1592"/>
      <c r="J467" s="1598"/>
      <c r="N467" s="1493"/>
    </row>
    <row r="468" spans="2:14" x14ac:dyDescent="0.2">
      <c r="B468" s="1593"/>
      <c r="C468" s="1592"/>
      <c r="J468" s="1598"/>
      <c r="N468" s="1493"/>
    </row>
    <row r="469" spans="2:14" x14ac:dyDescent="0.2">
      <c r="B469" s="1593"/>
      <c r="C469" s="1592"/>
      <c r="J469" s="1598"/>
      <c r="N469" s="1493"/>
    </row>
    <row r="470" spans="2:14" x14ac:dyDescent="0.2">
      <c r="B470" s="1593"/>
      <c r="C470" s="1592"/>
      <c r="J470" s="1598"/>
      <c r="N470" s="1493"/>
    </row>
    <row r="471" spans="2:14" x14ac:dyDescent="0.2">
      <c r="B471" s="1593"/>
      <c r="C471" s="1592"/>
      <c r="J471" s="1598"/>
      <c r="N471" s="1493"/>
    </row>
    <row r="472" spans="2:14" x14ac:dyDescent="0.2">
      <c r="B472" s="1593"/>
      <c r="C472" s="1592"/>
      <c r="J472" s="1598"/>
      <c r="N472" s="1493"/>
    </row>
    <row r="473" spans="2:14" x14ac:dyDescent="0.2">
      <c r="B473" s="1593"/>
      <c r="C473" s="1592"/>
      <c r="J473" s="1598"/>
      <c r="N473" s="1493"/>
    </row>
    <row r="474" spans="2:14" x14ac:dyDescent="0.2">
      <c r="B474" s="1593"/>
      <c r="C474" s="1592"/>
      <c r="J474" s="1598"/>
      <c r="N474" s="1493"/>
    </row>
    <row r="475" spans="2:14" x14ac:dyDescent="0.2">
      <c r="B475" s="1593"/>
      <c r="C475" s="1592"/>
      <c r="J475" s="1598"/>
      <c r="N475" s="1493"/>
    </row>
    <row r="476" spans="2:14" x14ac:dyDescent="0.2">
      <c r="B476" s="1593"/>
      <c r="C476" s="1592"/>
      <c r="J476" s="1598"/>
      <c r="N476" s="1493"/>
    </row>
    <row r="477" spans="2:14" x14ac:dyDescent="0.2">
      <c r="B477" s="1593"/>
      <c r="C477" s="1592"/>
      <c r="J477" s="1598"/>
      <c r="N477" s="1493"/>
    </row>
    <row r="478" spans="2:14" x14ac:dyDescent="0.2">
      <c r="B478" s="1593"/>
      <c r="C478" s="1592"/>
      <c r="J478" s="1598"/>
      <c r="N478" s="1493"/>
    </row>
    <row r="479" spans="2:14" x14ac:dyDescent="0.2">
      <c r="B479" s="1593"/>
      <c r="C479" s="1592"/>
      <c r="J479" s="1598"/>
      <c r="N479" s="1493"/>
    </row>
    <row r="480" spans="2:14" x14ac:dyDescent="0.2">
      <c r="B480" s="1593"/>
      <c r="C480" s="1592"/>
      <c r="J480" s="1598"/>
      <c r="N480" s="1493"/>
    </row>
    <row r="481" spans="2:14" x14ac:dyDescent="0.2">
      <c r="B481" s="1593"/>
      <c r="C481" s="1592"/>
      <c r="J481" s="1598"/>
      <c r="N481" s="1493"/>
    </row>
    <row r="482" spans="2:14" x14ac:dyDescent="0.2">
      <c r="B482" s="1593"/>
      <c r="C482" s="1592"/>
      <c r="J482" s="1598"/>
      <c r="N482" s="1493"/>
    </row>
    <row r="483" spans="2:14" x14ac:dyDescent="0.2">
      <c r="B483" s="1593"/>
      <c r="C483" s="1592"/>
      <c r="J483" s="1598"/>
      <c r="N483" s="1493"/>
    </row>
    <row r="484" spans="2:14" x14ac:dyDescent="0.2">
      <c r="B484" s="1593"/>
      <c r="C484" s="1592"/>
      <c r="J484" s="1598"/>
      <c r="N484" s="1493"/>
    </row>
    <row r="485" spans="2:14" x14ac:dyDescent="0.2">
      <c r="B485" s="1593"/>
      <c r="C485" s="1592"/>
      <c r="J485" s="1598"/>
      <c r="N485" s="1493"/>
    </row>
    <row r="486" spans="2:14" x14ac:dyDescent="0.2">
      <c r="B486" s="1593"/>
      <c r="C486" s="1592"/>
      <c r="J486" s="1598"/>
      <c r="N486" s="1493"/>
    </row>
    <row r="487" spans="2:14" x14ac:dyDescent="0.2">
      <c r="B487" s="1593"/>
      <c r="C487" s="1592"/>
      <c r="J487" s="1598"/>
      <c r="N487" s="1493"/>
    </row>
    <row r="488" spans="2:14" x14ac:dyDescent="0.2">
      <c r="B488" s="1593"/>
      <c r="C488" s="1592"/>
      <c r="J488" s="1598"/>
      <c r="N488" s="1493"/>
    </row>
    <row r="489" spans="2:14" x14ac:dyDescent="0.2">
      <c r="B489" s="1593"/>
      <c r="C489" s="1592"/>
      <c r="J489" s="1598"/>
      <c r="N489" s="1493"/>
    </row>
    <row r="490" spans="2:14" x14ac:dyDescent="0.2">
      <c r="B490" s="1593"/>
      <c r="C490" s="1592"/>
      <c r="J490" s="1598"/>
      <c r="N490" s="1493"/>
    </row>
    <row r="491" spans="2:14" x14ac:dyDescent="0.2">
      <c r="B491" s="1593"/>
      <c r="C491" s="1592"/>
      <c r="J491" s="1598"/>
      <c r="N491" s="1493"/>
    </row>
    <row r="492" spans="2:14" x14ac:dyDescent="0.2">
      <c r="B492" s="1593"/>
      <c r="C492" s="1592"/>
      <c r="J492" s="1598"/>
      <c r="N492" s="1493"/>
    </row>
    <row r="493" spans="2:14" x14ac:dyDescent="0.2">
      <c r="B493" s="1593"/>
      <c r="C493" s="1592"/>
      <c r="J493" s="1598"/>
      <c r="N493" s="1493"/>
    </row>
    <row r="494" spans="2:14" x14ac:dyDescent="0.2">
      <c r="B494" s="1593"/>
      <c r="C494" s="1592"/>
      <c r="J494" s="1598"/>
      <c r="N494" s="1493"/>
    </row>
    <row r="495" spans="2:14" x14ac:dyDescent="0.2">
      <c r="B495" s="1593"/>
      <c r="C495" s="1592"/>
      <c r="J495" s="1598"/>
      <c r="N495" s="1493"/>
    </row>
    <row r="496" spans="2:14" x14ac:dyDescent="0.2">
      <c r="B496" s="1593"/>
      <c r="C496" s="1592"/>
      <c r="J496" s="1598"/>
      <c r="N496" s="1493"/>
    </row>
    <row r="497" spans="1:14" x14ac:dyDescent="0.2">
      <c r="B497" s="1593"/>
      <c r="C497" s="1592"/>
      <c r="J497" s="1598"/>
      <c r="N497" s="1493"/>
    </row>
    <row r="498" spans="1:14" x14ac:dyDescent="0.2">
      <c r="B498" s="1593"/>
      <c r="C498" s="1592"/>
      <c r="J498" s="1598"/>
      <c r="N498" s="1493"/>
    </row>
    <row r="499" spans="1:14" ht="13.5" customHeight="1" x14ac:dyDescent="0.2">
      <c r="B499" s="1593"/>
      <c r="C499" s="1592"/>
      <c r="J499" s="1598"/>
      <c r="N499" s="1493"/>
    </row>
    <row r="500" spans="1:14" x14ac:dyDescent="0.2">
      <c r="B500" s="1593"/>
      <c r="C500" s="1592"/>
      <c r="J500" s="1598"/>
      <c r="N500" s="1493"/>
    </row>
    <row r="501" spans="1:14" x14ac:dyDescent="0.2">
      <c r="B501" s="1593"/>
      <c r="C501" s="1592"/>
      <c r="J501" s="1598"/>
      <c r="N501" s="1493"/>
    </row>
    <row r="502" spans="1:14" x14ac:dyDescent="0.2">
      <c r="B502" s="1593"/>
      <c r="C502" s="1592"/>
      <c r="J502" s="1598"/>
      <c r="N502" s="1493"/>
    </row>
    <row r="503" spans="1:14" x14ac:dyDescent="0.2">
      <c r="B503" s="1593"/>
      <c r="C503" s="1592"/>
      <c r="J503" s="1598"/>
      <c r="N503" s="1493"/>
    </row>
    <row r="504" spans="1:14" x14ac:dyDescent="0.2">
      <c r="B504" s="1593"/>
      <c r="C504" s="1592"/>
      <c r="J504" s="1598"/>
      <c r="N504" s="1493"/>
    </row>
    <row r="505" spans="1:14" x14ac:dyDescent="0.2">
      <c r="B505" s="1593"/>
      <c r="C505" s="1592"/>
      <c r="J505" s="1598"/>
      <c r="N505" s="1493"/>
    </row>
    <row r="506" spans="1:14" x14ac:dyDescent="0.2">
      <c r="A506" s="1621"/>
      <c r="B506" s="1593"/>
      <c r="C506" s="1592"/>
      <c r="J506" s="1598"/>
      <c r="N506" s="1493"/>
    </row>
    <row r="507" spans="1:14" x14ac:dyDescent="0.2">
      <c r="B507" s="1593"/>
      <c r="C507" s="1592"/>
      <c r="J507" s="1598"/>
      <c r="N507" s="1493"/>
    </row>
    <row r="508" spans="1:14" x14ac:dyDescent="0.2">
      <c r="B508" s="1593"/>
      <c r="C508" s="1592"/>
      <c r="J508" s="1598"/>
      <c r="N508" s="1493"/>
    </row>
    <row r="509" spans="1:14" x14ac:dyDescent="0.2">
      <c r="B509" s="1593"/>
      <c r="C509" s="1592"/>
      <c r="J509" s="1598"/>
      <c r="N509" s="1493"/>
    </row>
    <row r="510" spans="1:14" x14ac:dyDescent="0.2">
      <c r="B510" s="1593"/>
      <c r="C510" s="1592"/>
      <c r="J510" s="1598"/>
      <c r="N510" s="1493"/>
    </row>
    <row r="511" spans="1:14" x14ac:dyDescent="0.2">
      <c r="B511" s="1593"/>
      <c r="C511" s="1592"/>
      <c r="J511" s="1598"/>
      <c r="N511" s="1493"/>
    </row>
    <row r="512" spans="1:14" x14ac:dyDescent="0.2">
      <c r="B512" s="1593"/>
      <c r="C512" s="1592"/>
      <c r="J512" s="1598"/>
      <c r="N512" s="1493"/>
    </row>
    <row r="513" spans="2:14" x14ac:dyDescent="0.2">
      <c r="B513" s="1593"/>
      <c r="C513" s="1592"/>
      <c r="J513" s="1598"/>
      <c r="N513" s="1493"/>
    </row>
    <row r="514" spans="2:14" x14ac:dyDescent="0.2">
      <c r="B514" s="1593"/>
      <c r="C514" s="1592"/>
      <c r="J514" s="1598"/>
      <c r="N514" s="1493"/>
    </row>
    <row r="515" spans="2:14" x14ac:dyDescent="0.2">
      <c r="B515" s="1593"/>
      <c r="C515" s="1592"/>
      <c r="J515" s="1598"/>
      <c r="N515" s="1493"/>
    </row>
    <row r="516" spans="2:14" x14ac:dyDescent="0.2">
      <c r="B516" s="1593"/>
      <c r="C516" s="1592"/>
      <c r="J516" s="1598"/>
      <c r="N516" s="1493"/>
    </row>
    <row r="517" spans="2:14" x14ac:dyDescent="0.2">
      <c r="B517" s="1593"/>
      <c r="C517" s="1592"/>
      <c r="J517" s="1598"/>
      <c r="N517" s="1493"/>
    </row>
    <row r="518" spans="2:14" x14ac:dyDescent="0.2">
      <c r="B518" s="1593"/>
      <c r="C518" s="1592"/>
      <c r="J518" s="1598"/>
      <c r="N518" s="1493"/>
    </row>
    <row r="519" spans="2:14" x14ac:dyDescent="0.2">
      <c r="B519" s="1593"/>
      <c r="C519" s="1592"/>
      <c r="J519" s="1598"/>
      <c r="N519" s="1493"/>
    </row>
    <row r="520" spans="2:14" x14ac:dyDescent="0.2">
      <c r="B520" s="1593"/>
      <c r="C520" s="1592"/>
      <c r="J520" s="1598"/>
      <c r="N520" s="1493"/>
    </row>
    <row r="521" spans="2:14" x14ac:dyDescent="0.2">
      <c r="B521" s="1593"/>
      <c r="C521" s="1592"/>
      <c r="J521" s="1598"/>
      <c r="N521" s="1493"/>
    </row>
    <row r="522" spans="2:14" x14ac:dyDescent="0.2">
      <c r="B522" s="1593"/>
      <c r="C522" s="1592"/>
      <c r="J522" s="1598"/>
      <c r="N522" s="1493"/>
    </row>
    <row r="523" spans="2:14" x14ac:dyDescent="0.2">
      <c r="B523" s="1593"/>
      <c r="C523" s="1592"/>
      <c r="J523" s="1598"/>
      <c r="N523" s="1493"/>
    </row>
    <row r="524" spans="2:14" x14ac:dyDescent="0.2">
      <c r="B524" s="1593"/>
      <c r="C524" s="1592"/>
      <c r="J524" s="1598"/>
      <c r="N524" s="1493"/>
    </row>
    <row r="525" spans="2:14" x14ac:dyDescent="0.2">
      <c r="B525" s="1593"/>
      <c r="C525" s="1592"/>
      <c r="J525" s="1598"/>
      <c r="N525" s="1493"/>
    </row>
    <row r="526" spans="2:14" x14ac:dyDescent="0.2">
      <c r="B526" s="1593"/>
      <c r="C526" s="1592"/>
      <c r="J526" s="1598"/>
      <c r="N526" s="1493"/>
    </row>
    <row r="527" spans="2:14" x14ac:dyDescent="0.2">
      <c r="B527" s="1593"/>
      <c r="C527" s="1592"/>
      <c r="J527" s="1598"/>
      <c r="N527" s="1493"/>
    </row>
    <row r="528" spans="2:14" x14ac:dyDescent="0.2">
      <c r="B528" s="1593"/>
      <c r="C528" s="1592"/>
      <c r="J528" s="1598"/>
      <c r="N528" s="1493"/>
    </row>
    <row r="529" spans="2:14" x14ac:dyDescent="0.2">
      <c r="B529" s="1593"/>
      <c r="C529" s="1592"/>
      <c r="J529" s="1598"/>
      <c r="N529" s="1493"/>
    </row>
    <row r="530" spans="2:14" x14ac:dyDescent="0.2">
      <c r="B530" s="1593"/>
      <c r="C530" s="1592"/>
      <c r="J530" s="1598"/>
      <c r="N530" s="1493"/>
    </row>
    <row r="531" spans="2:14" x14ac:dyDescent="0.2">
      <c r="B531" s="1593"/>
      <c r="C531" s="1592"/>
      <c r="J531" s="1598"/>
      <c r="N531" s="1493"/>
    </row>
    <row r="532" spans="2:14" x14ac:dyDescent="0.2">
      <c r="B532" s="1593"/>
      <c r="C532" s="1592"/>
      <c r="J532" s="1598"/>
      <c r="N532" s="1493"/>
    </row>
    <row r="533" spans="2:14" x14ac:dyDescent="0.2">
      <c r="B533" s="1593"/>
      <c r="C533" s="1592"/>
      <c r="J533" s="1598"/>
      <c r="N533" s="1493"/>
    </row>
    <row r="534" spans="2:14" x14ac:dyDescent="0.2">
      <c r="B534" s="1593"/>
      <c r="C534" s="1592"/>
      <c r="J534" s="1598"/>
      <c r="N534" s="1493"/>
    </row>
    <row r="535" spans="2:14" x14ac:dyDescent="0.2">
      <c r="B535" s="1593"/>
      <c r="C535" s="1592"/>
      <c r="J535" s="1598"/>
      <c r="N535" s="1493"/>
    </row>
    <row r="536" spans="2:14" x14ac:dyDescent="0.2">
      <c r="B536" s="1593"/>
      <c r="C536" s="1592"/>
      <c r="J536" s="1598"/>
      <c r="N536" s="1493"/>
    </row>
    <row r="537" spans="2:14" x14ac:dyDescent="0.2">
      <c r="B537" s="1593"/>
      <c r="C537" s="1592"/>
      <c r="J537" s="1598"/>
      <c r="N537" s="1493"/>
    </row>
    <row r="538" spans="2:14" x14ac:dyDescent="0.2">
      <c r="B538" s="1593"/>
      <c r="C538" s="1592"/>
      <c r="J538" s="1598"/>
      <c r="N538" s="1493"/>
    </row>
    <row r="539" spans="2:14" x14ac:dyDescent="0.2">
      <c r="B539" s="1593"/>
      <c r="C539" s="1592"/>
      <c r="J539" s="1598"/>
      <c r="N539" s="1493"/>
    </row>
    <row r="540" spans="2:14" x14ac:dyDescent="0.2">
      <c r="B540" s="1593"/>
      <c r="C540" s="1592"/>
      <c r="J540" s="1598"/>
      <c r="N540" s="1493"/>
    </row>
    <row r="541" spans="2:14" x14ac:dyDescent="0.2">
      <c r="B541" s="1593"/>
      <c r="C541" s="1592"/>
      <c r="J541" s="1598"/>
      <c r="N541" s="1493"/>
    </row>
    <row r="542" spans="2:14" x14ac:dyDescent="0.2">
      <c r="B542" s="1593"/>
      <c r="C542" s="1592"/>
      <c r="J542" s="1598"/>
      <c r="N542" s="1493"/>
    </row>
    <row r="543" spans="2:14" x14ac:dyDescent="0.2">
      <c r="B543" s="1593"/>
      <c r="C543" s="1592"/>
      <c r="J543" s="1598"/>
      <c r="N543" s="1493"/>
    </row>
    <row r="544" spans="2:14" x14ac:dyDescent="0.2">
      <c r="B544" s="1593"/>
      <c r="C544" s="1592"/>
      <c r="J544" s="1598"/>
      <c r="N544" s="1493"/>
    </row>
    <row r="545" spans="2:14" x14ac:dyDescent="0.2">
      <c r="B545" s="1593"/>
      <c r="C545" s="1592"/>
      <c r="J545" s="1598"/>
      <c r="N545" s="1493"/>
    </row>
    <row r="546" spans="2:14" x14ac:dyDescent="0.2">
      <c r="B546" s="1593"/>
      <c r="C546" s="1592"/>
      <c r="J546" s="1598"/>
      <c r="N546" s="1493"/>
    </row>
    <row r="547" spans="2:14" x14ac:dyDescent="0.2">
      <c r="B547" s="1593"/>
      <c r="C547" s="1592"/>
      <c r="J547" s="1598"/>
      <c r="N547" s="1493"/>
    </row>
    <row r="548" spans="2:14" x14ac:dyDescent="0.2">
      <c r="B548" s="1593"/>
      <c r="C548" s="1592"/>
      <c r="J548" s="1598"/>
      <c r="N548" s="1493"/>
    </row>
    <row r="549" spans="2:14" x14ac:dyDescent="0.2">
      <c r="B549" s="1593"/>
      <c r="C549" s="1592"/>
      <c r="J549" s="1598"/>
      <c r="N549" s="1493"/>
    </row>
    <row r="550" spans="2:14" x14ac:dyDescent="0.2">
      <c r="B550" s="1593"/>
      <c r="C550" s="1592"/>
      <c r="J550" s="1598"/>
      <c r="N550" s="1493"/>
    </row>
    <row r="551" spans="2:14" x14ac:dyDescent="0.2">
      <c r="B551" s="1593"/>
      <c r="C551" s="1592"/>
      <c r="J551" s="1598"/>
      <c r="N551" s="1493"/>
    </row>
    <row r="552" spans="2:14" x14ac:dyDescent="0.2">
      <c r="B552" s="1593"/>
      <c r="C552" s="1592"/>
      <c r="J552" s="1598"/>
      <c r="N552" s="1493"/>
    </row>
    <row r="553" spans="2:14" x14ac:dyDescent="0.2">
      <c r="B553" s="1593"/>
      <c r="C553" s="1592"/>
      <c r="J553" s="1598"/>
      <c r="N553" s="1493"/>
    </row>
    <row r="554" spans="2:14" x14ac:dyDescent="0.2">
      <c r="B554" s="1593"/>
      <c r="C554" s="1592"/>
      <c r="J554" s="1598"/>
      <c r="N554" s="1493"/>
    </row>
    <row r="555" spans="2:14" x14ac:dyDescent="0.2">
      <c r="B555" s="1593"/>
      <c r="C555" s="1592"/>
      <c r="J555" s="1598"/>
      <c r="N555" s="1493"/>
    </row>
    <row r="556" spans="2:14" x14ac:dyDescent="0.2">
      <c r="B556" s="1593"/>
      <c r="C556" s="1592"/>
      <c r="J556" s="1598"/>
      <c r="N556" s="1493"/>
    </row>
    <row r="557" spans="2:14" x14ac:dyDescent="0.2">
      <c r="B557" s="1593"/>
      <c r="C557" s="1592"/>
      <c r="J557" s="1598"/>
      <c r="N557" s="1493"/>
    </row>
    <row r="558" spans="2:14" x14ac:dyDescent="0.2">
      <c r="B558" s="1593"/>
      <c r="C558" s="1592"/>
      <c r="J558" s="1598"/>
      <c r="N558" s="1493"/>
    </row>
    <row r="559" spans="2:14" x14ac:dyDescent="0.2">
      <c r="B559" s="1593"/>
      <c r="C559" s="1592"/>
      <c r="J559" s="1598"/>
      <c r="N559" s="1493"/>
    </row>
    <row r="560" spans="2:14" x14ac:dyDescent="0.2">
      <c r="B560" s="1593"/>
      <c r="C560" s="1592"/>
      <c r="J560" s="1598"/>
      <c r="N560" s="1493"/>
    </row>
    <row r="561" spans="2:14" x14ac:dyDescent="0.2">
      <c r="B561" s="1593"/>
      <c r="C561" s="1592"/>
      <c r="J561" s="1598"/>
      <c r="N561" s="1493"/>
    </row>
    <row r="562" spans="2:14" x14ac:dyDescent="0.2">
      <c r="B562" s="1593"/>
      <c r="C562" s="1592"/>
      <c r="J562" s="1598"/>
      <c r="N562" s="1493"/>
    </row>
    <row r="563" spans="2:14" x14ac:dyDescent="0.2">
      <c r="B563" s="1593"/>
      <c r="C563" s="1592"/>
      <c r="J563" s="1598"/>
      <c r="N563" s="1493"/>
    </row>
    <row r="564" spans="2:14" x14ac:dyDescent="0.2">
      <c r="B564" s="1593"/>
      <c r="C564" s="1592"/>
      <c r="J564" s="1598"/>
      <c r="N564" s="1493"/>
    </row>
    <row r="565" spans="2:14" x14ac:dyDescent="0.2">
      <c r="B565" s="1593"/>
      <c r="C565" s="1592"/>
      <c r="J565" s="1598"/>
      <c r="N565" s="1493"/>
    </row>
    <row r="566" spans="2:14" x14ac:dyDescent="0.2">
      <c r="B566" s="1593"/>
      <c r="C566" s="1592"/>
      <c r="J566" s="1598"/>
      <c r="N566" s="1493"/>
    </row>
    <row r="567" spans="2:14" x14ac:dyDescent="0.2">
      <c r="B567" s="1593"/>
      <c r="C567" s="1592"/>
      <c r="J567" s="1598"/>
      <c r="N567" s="1493"/>
    </row>
    <row r="568" spans="2:14" x14ac:dyDescent="0.2">
      <c r="B568" s="1593"/>
      <c r="C568" s="1592"/>
      <c r="J568" s="1598"/>
      <c r="N568" s="1493"/>
    </row>
    <row r="569" spans="2:14" x14ac:dyDescent="0.2">
      <c r="B569" s="1593"/>
      <c r="C569" s="1592"/>
      <c r="J569" s="1598"/>
      <c r="N569" s="1493"/>
    </row>
    <row r="570" spans="2:14" x14ac:dyDescent="0.2">
      <c r="B570" s="1593"/>
      <c r="C570" s="1592"/>
      <c r="J570" s="1598"/>
      <c r="N570" s="1493"/>
    </row>
    <row r="571" spans="2:14" x14ac:dyDescent="0.2">
      <c r="B571" s="1593"/>
      <c r="C571" s="1592"/>
      <c r="J571" s="1598"/>
      <c r="N571" s="1493"/>
    </row>
    <row r="572" spans="2:14" x14ac:dyDescent="0.2">
      <c r="B572" s="1593"/>
      <c r="C572" s="1592"/>
      <c r="J572" s="1598"/>
      <c r="N572" s="1493"/>
    </row>
    <row r="573" spans="2:14" x14ac:dyDescent="0.2">
      <c r="B573" s="1593"/>
      <c r="C573" s="1592"/>
      <c r="J573" s="1598"/>
      <c r="N573" s="1493"/>
    </row>
    <row r="574" spans="2:14" x14ac:dyDescent="0.2">
      <c r="B574" s="1593"/>
      <c r="C574" s="1592"/>
      <c r="J574" s="1598"/>
      <c r="N574" s="1493"/>
    </row>
    <row r="575" spans="2:14" x14ac:dyDescent="0.2">
      <c r="B575" s="1593"/>
      <c r="C575" s="1592"/>
      <c r="J575" s="1598"/>
      <c r="N575" s="1493"/>
    </row>
    <row r="576" spans="2:14" x14ac:dyDescent="0.2">
      <c r="B576" s="1593"/>
      <c r="C576" s="1592"/>
      <c r="J576" s="1598"/>
      <c r="N576" s="1493"/>
    </row>
    <row r="577" spans="2:14" x14ac:dyDescent="0.2">
      <c r="B577" s="1593"/>
      <c r="C577" s="1592"/>
      <c r="J577" s="1598"/>
      <c r="N577" s="1493"/>
    </row>
    <row r="578" spans="2:14" x14ac:dyDescent="0.2">
      <c r="B578" s="1593"/>
      <c r="C578" s="1592"/>
      <c r="J578" s="1598"/>
      <c r="N578" s="1493"/>
    </row>
    <row r="579" spans="2:14" x14ac:dyDescent="0.2">
      <c r="B579" s="1593"/>
      <c r="C579" s="1592"/>
      <c r="J579" s="1598"/>
      <c r="N579" s="1493"/>
    </row>
    <row r="580" spans="2:14" x14ac:dyDescent="0.2">
      <c r="B580" s="1593"/>
      <c r="C580" s="1592"/>
      <c r="J580" s="1598"/>
      <c r="N580" s="1493"/>
    </row>
    <row r="581" spans="2:14" x14ac:dyDescent="0.2">
      <c r="B581" s="1593"/>
      <c r="C581" s="1592"/>
      <c r="J581" s="1598"/>
      <c r="N581" s="1493"/>
    </row>
    <row r="582" spans="2:14" x14ac:dyDescent="0.2">
      <c r="B582" s="1593"/>
      <c r="C582" s="1592"/>
      <c r="J582" s="1598"/>
      <c r="N582" s="1493"/>
    </row>
    <row r="583" spans="2:14" x14ac:dyDescent="0.2">
      <c r="B583" s="1593"/>
      <c r="C583" s="1592"/>
      <c r="J583" s="1598"/>
      <c r="N583" s="1493"/>
    </row>
    <row r="584" spans="2:14" x14ac:dyDescent="0.2">
      <c r="B584" s="1593"/>
      <c r="C584" s="1592"/>
      <c r="J584" s="1598"/>
      <c r="N584" s="1493"/>
    </row>
    <row r="585" spans="2:14" x14ac:dyDescent="0.2">
      <c r="B585" s="1593"/>
      <c r="C585" s="1592"/>
      <c r="J585" s="1598"/>
      <c r="N585" s="1493"/>
    </row>
    <row r="586" spans="2:14" x14ac:dyDescent="0.2">
      <c r="B586" s="1593"/>
      <c r="C586" s="1592"/>
      <c r="J586" s="1598"/>
      <c r="N586" s="1493"/>
    </row>
    <row r="587" spans="2:14" x14ac:dyDescent="0.2">
      <c r="B587" s="1593"/>
      <c r="C587" s="1592"/>
      <c r="J587" s="1598"/>
      <c r="N587" s="1493"/>
    </row>
    <row r="588" spans="2:14" x14ac:dyDescent="0.2">
      <c r="B588" s="1593"/>
      <c r="C588" s="1592"/>
      <c r="J588" s="1598"/>
      <c r="N588" s="1493"/>
    </row>
    <row r="589" spans="2:14" x14ac:dyDescent="0.2">
      <c r="B589" s="1593"/>
      <c r="C589" s="1592"/>
      <c r="J589" s="1598"/>
      <c r="N589" s="1493"/>
    </row>
    <row r="590" spans="2:14" x14ac:dyDescent="0.2">
      <c r="B590" s="1593"/>
      <c r="C590" s="1592"/>
      <c r="J590" s="1598"/>
      <c r="N590" s="1493"/>
    </row>
    <row r="591" spans="2:14" x14ac:dyDescent="0.2">
      <c r="B591" s="1593"/>
      <c r="C591" s="1592"/>
      <c r="J591" s="1598"/>
      <c r="N591" s="1493"/>
    </row>
    <row r="592" spans="2:14" x14ac:dyDescent="0.2">
      <c r="B592" s="1593"/>
      <c r="C592" s="1592"/>
      <c r="J592" s="1598"/>
      <c r="N592" s="1493"/>
    </row>
    <row r="593" spans="2:14" x14ac:dyDescent="0.2">
      <c r="B593" s="1593"/>
      <c r="C593" s="1592"/>
      <c r="J593" s="1598"/>
      <c r="N593" s="1493"/>
    </row>
    <row r="594" spans="2:14" x14ac:dyDescent="0.2">
      <c r="B594" s="1593"/>
      <c r="C594" s="1592"/>
      <c r="J594" s="1598"/>
      <c r="N594" s="1493"/>
    </row>
    <row r="595" spans="2:14" x14ac:dyDescent="0.2">
      <c r="B595" s="1593"/>
      <c r="C595" s="1592"/>
      <c r="J595" s="1598"/>
      <c r="N595" s="1493"/>
    </row>
    <row r="596" spans="2:14" x14ac:dyDescent="0.2">
      <c r="B596" s="1593"/>
      <c r="C596" s="1592"/>
      <c r="J596" s="1598"/>
      <c r="N596" s="1493"/>
    </row>
    <row r="597" spans="2:14" x14ac:dyDescent="0.2">
      <c r="B597" s="1593"/>
      <c r="C597" s="1592"/>
      <c r="J597" s="1598"/>
      <c r="N597" s="1493"/>
    </row>
    <row r="598" spans="2:14" x14ac:dyDescent="0.2">
      <c r="B598" s="1593"/>
      <c r="C598" s="1592"/>
      <c r="J598" s="1598"/>
      <c r="N598" s="1493"/>
    </row>
    <row r="599" spans="2:14" x14ac:dyDescent="0.2">
      <c r="B599" s="1593"/>
      <c r="C599" s="1592"/>
      <c r="J599" s="1598"/>
      <c r="N599" s="1493"/>
    </row>
    <row r="600" spans="2:14" x14ac:dyDescent="0.2">
      <c r="B600" s="1593"/>
      <c r="C600" s="1592"/>
      <c r="J600" s="1598"/>
      <c r="N600" s="1493"/>
    </row>
    <row r="601" spans="2:14" x14ac:dyDescent="0.2">
      <c r="B601" s="1593"/>
      <c r="C601" s="1592"/>
      <c r="J601" s="1598"/>
      <c r="N601" s="1493"/>
    </row>
    <row r="602" spans="2:14" x14ac:dyDescent="0.2">
      <c r="B602" s="1593"/>
      <c r="C602" s="1592"/>
      <c r="J602" s="1598"/>
      <c r="N602" s="1493"/>
    </row>
    <row r="603" spans="2:14" x14ac:dyDescent="0.2">
      <c r="B603" s="1593"/>
      <c r="C603" s="1592"/>
      <c r="J603" s="1598"/>
      <c r="N603" s="1493"/>
    </row>
    <row r="604" spans="2:14" x14ac:dyDescent="0.2">
      <c r="B604" s="1593"/>
      <c r="C604" s="1592"/>
      <c r="J604" s="1598"/>
      <c r="N604" s="1493"/>
    </row>
    <row r="605" spans="2:14" x14ac:dyDescent="0.2">
      <c r="B605" s="1593"/>
      <c r="C605" s="1592"/>
      <c r="J605" s="1598"/>
      <c r="N605" s="1493"/>
    </row>
    <row r="606" spans="2:14" x14ac:dyDescent="0.2">
      <c r="B606" s="1593"/>
      <c r="C606" s="1592"/>
      <c r="J606" s="1598"/>
      <c r="N606" s="1493"/>
    </row>
    <row r="607" spans="2:14" x14ac:dyDescent="0.2">
      <c r="B607" s="1593"/>
      <c r="C607" s="1592"/>
      <c r="J607" s="1598"/>
      <c r="N607" s="1493"/>
    </row>
    <row r="608" spans="2:14" x14ac:dyDescent="0.2">
      <c r="B608" s="1593"/>
      <c r="C608" s="1592"/>
      <c r="J608" s="1598"/>
      <c r="N608" s="1493"/>
    </row>
    <row r="609" spans="2:14" x14ac:dyDescent="0.2">
      <c r="B609" s="1593"/>
      <c r="C609" s="1592"/>
      <c r="J609" s="1598"/>
      <c r="N609" s="1493"/>
    </row>
    <row r="610" spans="2:14" x14ac:dyDescent="0.2">
      <c r="B610" s="1593"/>
      <c r="C610" s="1592"/>
      <c r="J610" s="1598"/>
      <c r="N610" s="1493"/>
    </row>
    <row r="611" spans="2:14" x14ac:dyDescent="0.2">
      <c r="B611" s="1593"/>
      <c r="C611" s="1592"/>
      <c r="J611" s="1598"/>
      <c r="N611" s="1493"/>
    </row>
    <row r="612" spans="2:14" x14ac:dyDescent="0.2">
      <c r="B612" s="1593"/>
      <c r="C612" s="1592"/>
      <c r="J612" s="1598"/>
      <c r="N612" s="1493"/>
    </row>
    <row r="613" spans="2:14" x14ac:dyDescent="0.2">
      <c r="B613" s="1593"/>
      <c r="C613" s="1592"/>
      <c r="J613" s="1598"/>
      <c r="N613" s="1493"/>
    </row>
    <row r="614" spans="2:14" x14ac:dyDescent="0.2">
      <c r="B614" s="1593"/>
      <c r="C614" s="1592"/>
      <c r="J614" s="1598"/>
      <c r="N614" s="1493"/>
    </row>
    <row r="615" spans="2:14" x14ac:dyDescent="0.2">
      <c r="B615" s="1593"/>
      <c r="C615" s="1592"/>
      <c r="J615" s="1598"/>
      <c r="N615" s="1493"/>
    </row>
    <row r="616" spans="2:14" x14ac:dyDescent="0.2">
      <c r="B616" s="1593"/>
      <c r="C616" s="1592"/>
      <c r="J616" s="1598"/>
      <c r="N616" s="1493"/>
    </row>
    <row r="617" spans="2:14" x14ac:dyDescent="0.2">
      <c r="B617" s="1593"/>
      <c r="C617" s="1592"/>
      <c r="J617" s="1598"/>
      <c r="N617" s="1493"/>
    </row>
    <row r="618" spans="2:14" x14ac:dyDescent="0.2">
      <c r="B618" s="1593"/>
      <c r="C618" s="1592"/>
      <c r="J618" s="1598"/>
      <c r="N618" s="1493"/>
    </row>
    <row r="619" spans="2:14" x14ac:dyDescent="0.2">
      <c r="B619" s="1593"/>
      <c r="C619" s="1592"/>
      <c r="J619" s="1598"/>
      <c r="N619" s="1493"/>
    </row>
    <row r="620" spans="2:14" x14ac:dyDescent="0.2">
      <c r="B620" s="1593"/>
      <c r="C620" s="1592"/>
      <c r="J620" s="1598"/>
      <c r="N620" s="1493"/>
    </row>
    <row r="621" spans="2:14" x14ac:dyDescent="0.2">
      <c r="B621" s="1593"/>
      <c r="C621" s="1592"/>
      <c r="J621" s="1598"/>
      <c r="N621" s="1493"/>
    </row>
    <row r="622" spans="2:14" x14ac:dyDescent="0.2">
      <c r="B622" s="1593"/>
      <c r="C622" s="1592"/>
      <c r="J622" s="1598"/>
      <c r="N622" s="1493"/>
    </row>
    <row r="623" spans="2:14" x14ac:dyDescent="0.2">
      <c r="B623" s="1593"/>
      <c r="C623" s="1592"/>
      <c r="J623" s="1598"/>
      <c r="N623" s="1493"/>
    </row>
    <row r="624" spans="2:14" x14ac:dyDescent="0.2">
      <c r="B624" s="1593"/>
      <c r="C624" s="1592"/>
      <c r="J624" s="1598"/>
      <c r="N624" s="1493"/>
    </row>
    <row r="625" spans="2:14" x14ac:dyDescent="0.2">
      <c r="B625" s="1593"/>
      <c r="C625" s="1592"/>
      <c r="J625" s="1598"/>
      <c r="N625" s="1493"/>
    </row>
    <row r="626" spans="2:14" x14ac:dyDescent="0.2">
      <c r="B626" s="1593"/>
      <c r="C626" s="1592"/>
      <c r="J626" s="1598"/>
      <c r="N626" s="1493"/>
    </row>
    <row r="627" spans="2:14" x14ac:dyDescent="0.2">
      <c r="B627" s="1593"/>
      <c r="C627" s="1592"/>
      <c r="J627" s="1598"/>
      <c r="N627" s="1493"/>
    </row>
    <row r="628" spans="2:14" x14ac:dyDescent="0.2">
      <c r="B628" s="1593"/>
      <c r="C628" s="1592"/>
      <c r="J628" s="1598"/>
      <c r="N628" s="1493"/>
    </row>
    <row r="629" spans="2:14" x14ac:dyDescent="0.2">
      <c r="B629" s="1593"/>
      <c r="C629" s="1592"/>
      <c r="J629" s="1598"/>
      <c r="N629" s="1493"/>
    </row>
    <row r="630" spans="2:14" x14ac:dyDescent="0.2">
      <c r="B630" s="1593"/>
      <c r="C630" s="1592"/>
      <c r="J630" s="1598"/>
      <c r="N630" s="1493"/>
    </row>
    <row r="631" spans="2:14" x14ac:dyDescent="0.2">
      <c r="B631" s="1593"/>
      <c r="C631" s="1592"/>
      <c r="J631" s="1598"/>
      <c r="N631" s="1493"/>
    </row>
    <row r="632" spans="2:14" x14ac:dyDescent="0.2">
      <c r="B632" s="1593"/>
      <c r="C632" s="1592"/>
      <c r="J632" s="1598"/>
      <c r="N632" s="1493"/>
    </row>
    <row r="633" spans="2:14" x14ac:dyDescent="0.2">
      <c r="B633" s="1593"/>
      <c r="C633" s="1592"/>
      <c r="J633" s="1598"/>
      <c r="N633" s="1493"/>
    </row>
    <row r="634" spans="2:14" x14ac:dyDescent="0.2">
      <c r="B634" s="1593"/>
      <c r="C634" s="1592"/>
      <c r="J634" s="1598"/>
      <c r="N634" s="1493"/>
    </row>
    <row r="635" spans="2:14" x14ac:dyDescent="0.2">
      <c r="B635" s="1593"/>
      <c r="C635" s="1592"/>
      <c r="J635" s="1598"/>
      <c r="N635" s="1493"/>
    </row>
    <row r="636" spans="2:14" x14ac:dyDescent="0.2">
      <c r="B636" s="1593"/>
      <c r="C636" s="1592"/>
      <c r="J636" s="1598"/>
      <c r="N636" s="1493"/>
    </row>
    <row r="637" spans="2:14" x14ac:dyDescent="0.2">
      <c r="B637" s="1593"/>
      <c r="C637" s="1592"/>
      <c r="J637" s="1598"/>
      <c r="N637" s="1493"/>
    </row>
    <row r="638" spans="2:14" x14ac:dyDescent="0.2">
      <c r="B638" s="1593"/>
      <c r="C638" s="1592"/>
      <c r="J638" s="1598"/>
      <c r="N638" s="1493"/>
    </row>
    <row r="639" spans="2:14" x14ac:dyDescent="0.2">
      <c r="B639" s="1593"/>
      <c r="C639" s="1592"/>
      <c r="J639" s="1598"/>
      <c r="N639" s="1493"/>
    </row>
    <row r="640" spans="2:14" x14ac:dyDescent="0.2">
      <c r="B640" s="1593"/>
      <c r="C640" s="1592"/>
      <c r="J640" s="1598"/>
      <c r="N640" s="1493"/>
    </row>
    <row r="641" spans="2:14" x14ac:dyDescent="0.2">
      <c r="B641" s="1593"/>
      <c r="C641" s="1592"/>
      <c r="J641" s="1598"/>
      <c r="N641" s="1493"/>
    </row>
    <row r="642" spans="2:14" x14ac:dyDescent="0.2">
      <c r="B642" s="1593"/>
      <c r="C642" s="1592"/>
      <c r="J642" s="1598"/>
      <c r="N642" s="1493"/>
    </row>
    <row r="643" spans="2:14" x14ac:dyDescent="0.2">
      <c r="B643" s="1593"/>
      <c r="C643" s="1592"/>
      <c r="J643" s="1598"/>
      <c r="N643" s="1493"/>
    </row>
    <row r="644" spans="2:14" x14ac:dyDescent="0.2">
      <c r="B644" s="1593"/>
      <c r="C644" s="1592"/>
      <c r="J644" s="1598"/>
      <c r="N644" s="1493"/>
    </row>
    <row r="645" spans="2:14" x14ac:dyDescent="0.2">
      <c r="B645" s="1593"/>
      <c r="C645" s="1592"/>
      <c r="J645" s="1598"/>
      <c r="N645" s="1493"/>
    </row>
    <row r="646" spans="2:14" x14ac:dyDescent="0.2">
      <c r="B646" s="1593"/>
      <c r="C646" s="1592"/>
      <c r="J646" s="1598"/>
      <c r="N646" s="1493"/>
    </row>
    <row r="647" spans="2:14" x14ac:dyDescent="0.2">
      <c r="B647" s="1593"/>
      <c r="C647" s="1592"/>
      <c r="J647" s="1598"/>
      <c r="N647" s="1493"/>
    </row>
    <row r="648" spans="2:14" x14ac:dyDescent="0.2">
      <c r="B648" s="1593"/>
      <c r="C648" s="1592"/>
      <c r="J648" s="1598"/>
      <c r="N648" s="1493"/>
    </row>
    <row r="649" spans="2:14" x14ac:dyDescent="0.2">
      <c r="B649" s="1593"/>
      <c r="C649" s="1592"/>
      <c r="J649" s="1598"/>
      <c r="N649" s="1493"/>
    </row>
    <row r="650" spans="2:14" x14ac:dyDescent="0.2">
      <c r="B650" s="1593"/>
      <c r="C650" s="1592"/>
      <c r="J650" s="1598"/>
      <c r="N650" s="1493"/>
    </row>
    <row r="651" spans="2:14" x14ac:dyDescent="0.2">
      <c r="B651" s="1593"/>
      <c r="C651" s="1592"/>
      <c r="J651" s="1598"/>
      <c r="N651" s="1493"/>
    </row>
    <row r="652" spans="2:14" x14ac:dyDescent="0.2">
      <c r="B652" s="1593"/>
      <c r="C652" s="1592"/>
      <c r="J652" s="1598"/>
      <c r="N652" s="1493"/>
    </row>
    <row r="653" spans="2:14" x14ac:dyDescent="0.2">
      <c r="B653" s="1593"/>
      <c r="C653" s="1592"/>
      <c r="J653" s="1598"/>
      <c r="N653" s="1493"/>
    </row>
    <row r="654" spans="2:14" x14ac:dyDescent="0.2">
      <c r="B654" s="1593"/>
      <c r="C654" s="1592"/>
      <c r="J654" s="1598"/>
      <c r="N654" s="1493"/>
    </row>
    <row r="655" spans="2:14" x14ac:dyDescent="0.2">
      <c r="B655" s="1593"/>
      <c r="C655" s="1592"/>
      <c r="J655" s="1598"/>
      <c r="N655" s="1493"/>
    </row>
    <row r="656" spans="2:14" x14ac:dyDescent="0.2">
      <c r="B656" s="1593"/>
      <c r="C656" s="1592"/>
      <c r="J656" s="1598"/>
      <c r="N656" s="1493"/>
    </row>
    <row r="657" spans="2:14" x14ac:dyDescent="0.2">
      <c r="B657" s="1593"/>
      <c r="C657" s="1592"/>
      <c r="J657" s="1598"/>
      <c r="N657" s="1493"/>
    </row>
    <row r="658" spans="2:14" x14ac:dyDescent="0.2">
      <c r="B658" s="1593"/>
      <c r="C658" s="1592"/>
      <c r="J658" s="1598"/>
      <c r="N658" s="1493"/>
    </row>
    <row r="659" spans="2:14" x14ac:dyDescent="0.2">
      <c r="B659" s="1593"/>
      <c r="C659" s="1592"/>
      <c r="J659" s="1598"/>
      <c r="N659" s="1493"/>
    </row>
    <row r="660" spans="2:14" x14ac:dyDescent="0.2">
      <c r="B660" s="1593"/>
      <c r="C660" s="1592"/>
      <c r="J660" s="1598"/>
      <c r="N660" s="1493"/>
    </row>
    <row r="661" spans="2:14" x14ac:dyDescent="0.2">
      <c r="B661" s="1593"/>
      <c r="C661" s="1592"/>
      <c r="J661" s="1598"/>
      <c r="N661" s="1493"/>
    </row>
    <row r="662" spans="2:14" x14ac:dyDescent="0.2">
      <c r="B662" s="1593"/>
      <c r="C662" s="1592"/>
      <c r="J662" s="1598"/>
      <c r="N662" s="1493"/>
    </row>
    <row r="663" spans="2:14" x14ac:dyDescent="0.2">
      <c r="B663" s="1593"/>
      <c r="C663" s="1592"/>
      <c r="J663" s="1598"/>
      <c r="N663" s="1493"/>
    </row>
    <row r="664" spans="2:14" x14ac:dyDescent="0.2">
      <c r="B664" s="1593"/>
      <c r="C664" s="1592"/>
      <c r="J664" s="1598"/>
      <c r="N664" s="1493"/>
    </row>
    <row r="665" spans="2:14" x14ac:dyDescent="0.2">
      <c r="B665" s="1593"/>
      <c r="C665" s="1592"/>
      <c r="J665" s="1598"/>
      <c r="N665" s="1493"/>
    </row>
    <row r="666" spans="2:14" x14ac:dyDescent="0.2">
      <c r="B666" s="1593"/>
      <c r="C666" s="1592"/>
      <c r="J666" s="1598"/>
      <c r="N666" s="1493"/>
    </row>
    <row r="667" spans="2:14" x14ac:dyDescent="0.2">
      <c r="B667" s="1593"/>
      <c r="C667" s="1592"/>
      <c r="J667" s="1598"/>
      <c r="N667" s="1493"/>
    </row>
    <row r="668" spans="2:14" x14ac:dyDescent="0.2">
      <c r="B668" s="1593"/>
      <c r="C668" s="1592"/>
      <c r="J668" s="1598"/>
      <c r="N668" s="1493"/>
    </row>
    <row r="669" spans="2:14" x14ac:dyDescent="0.2">
      <c r="B669" s="1593"/>
      <c r="C669" s="1592"/>
      <c r="J669" s="1598"/>
      <c r="N669" s="1493"/>
    </row>
    <row r="670" spans="2:14" x14ac:dyDescent="0.2">
      <c r="B670" s="1593"/>
      <c r="C670" s="1592"/>
      <c r="J670" s="1598"/>
      <c r="N670" s="1493"/>
    </row>
    <row r="671" spans="2:14" x14ac:dyDescent="0.2">
      <c r="B671" s="1593"/>
      <c r="C671" s="1592"/>
      <c r="J671" s="1598"/>
      <c r="N671" s="1493"/>
    </row>
    <row r="672" spans="2:14" x14ac:dyDescent="0.2">
      <c r="B672" s="1593"/>
      <c r="C672" s="1592"/>
      <c r="J672" s="1598"/>
      <c r="N672" s="1493"/>
    </row>
    <row r="673" spans="2:14" x14ac:dyDescent="0.2">
      <c r="B673" s="1593"/>
      <c r="C673" s="1592"/>
      <c r="J673" s="1598"/>
      <c r="N673" s="1493"/>
    </row>
    <row r="674" spans="2:14" x14ac:dyDescent="0.2">
      <c r="B674" s="1593"/>
      <c r="C674" s="1592"/>
      <c r="J674" s="1598"/>
      <c r="N674" s="1493"/>
    </row>
    <row r="675" spans="2:14" x14ac:dyDescent="0.2">
      <c r="B675" s="1593"/>
      <c r="C675" s="1592"/>
      <c r="J675" s="1598"/>
      <c r="N675" s="1493"/>
    </row>
    <row r="676" spans="2:14" x14ac:dyDescent="0.2">
      <c r="B676" s="1593"/>
      <c r="C676" s="1592"/>
      <c r="J676" s="1598"/>
      <c r="N676" s="1493"/>
    </row>
    <row r="677" spans="2:14" x14ac:dyDescent="0.2">
      <c r="B677" s="1593"/>
      <c r="C677" s="1592"/>
      <c r="J677" s="1598"/>
      <c r="N677" s="1493"/>
    </row>
    <row r="678" spans="2:14" x14ac:dyDescent="0.2">
      <c r="B678" s="1593"/>
      <c r="C678" s="1592"/>
      <c r="J678" s="1598"/>
      <c r="N678" s="1493"/>
    </row>
    <row r="679" spans="2:14" x14ac:dyDescent="0.2">
      <c r="B679" s="1593"/>
      <c r="C679" s="1592"/>
      <c r="J679" s="1598"/>
      <c r="N679" s="1493"/>
    </row>
    <row r="680" spans="2:14" x14ac:dyDescent="0.2">
      <c r="B680" s="1593"/>
      <c r="C680" s="1592"/>
      <c r="J680" s="1598"/>
      <c r="N680" s="1493"/>
    </row>
    <row r="681" spans="2:14" x14ac:dyDescent="0.2">
      <c r="B681" s="1593"/>
      <c r="C681" s="1592"/>
      <c r="J681" s="1598"/>
      <c r="N681" s="1493"/>
    </row>
    <row r="682" spans="2:14" x14ac:dyDescent="0.2">
      <c r="B682" s="1593"/>
      <c r="C682" s="1592"/>
      <c r="J682" s="1598"/>
      <c r="N682" s="1493"/>
    </row>
    <row r="683" spans="2:14" x14ac:dyDescent="0.2">
      <c r="B683" s="1593"/>
      <c r="C683" s="1592"/>
      <c r="J683" s="1598"/>
      <c r="N683" s="1493"/>
    </row>
    <row r="684" spans="2:14" x14ac:dyDescent="0.2">
      <c r="B684" s="1593"/>
      <c r="C684" s="1592"/>
      <c r="J684" s="1598"/>
      <c r="N684" s="1493"/>
    </row>
    <row r="685" spans="2:14" x14ac:dyDescent="0.2">
      <c r="B685" s="1593"/>
      <c r="C685" s="1592"/>
      <c r="J685" s="1598"/>
      <c r="N685" s="1493"/>
    </row>
    <row r="686" spans="2:14" x14ac:dyDescent="0.2">
      <c r="B686" s="1593"/>
      <c r="C686" s="1592"/>
      <c r="J686" s="1598"/>
      <c r="N686" s="1493"/>
    </row>
    <row r="687" spans="2:14" x14ac:dyDescent="0.2">
      <c r="B687" s="1593"/>
      <c r="C687" s="1592"/>
      <c r="J687" s="1598"/>
      <c r="N687" s="1493"/>
    </row>
    <row r="688" spans="2:14" x14ac:dyDescent="0.2">
      <c r="B688" s="1593"/>
      <c r="C688" s="1592"/>
      <c r="J688" s="1598"/>
      <c r="N688" s="1493"/>
    </row>
    <row r="689" spans="2:14" x14ac:dyDescent="0.2">
      <c r="B689" s="1593"/>
      <c r="C689" s="1592"/>
      <c r="J689" s="1598"/>
      <c r="N689" s="1493"/>
    </row>
    <row r="690" spans="2:14" x14ac:dyDescent="0.2">
      <c r="B690" s="1593"/>
      <c r="C690" s="1592"/>
      <c r="J690" s="1598"/>
      <c r="N690" s="1493"/>
    </row>
    <row r="691" spans="2:14" x14ac:dyDescent="0.2">
      <c r="B691" s="1593"/>
      <c r="C691" s="1592"/>
      <c r="J691" s="1598"/>
      <c r="N691" s="1493"/>
    </row>
    <row r="692" spans="2:14" x14ac:dyDescent="0.2">
      <c r="B692" s="1593"/>
      <c r="C692" s="1592"/>
      <c r="J692" s="1598"/>
      <c r="N692" s="1493"/>
    </row>
    <row r="693" spans="2:14" x14ac:dyDescent="0.2">
      <c r="B693" s="1593"/>
      <c r="C693" s="1592"/>
      <c r="J693" s="1598"/>
      <c r="N693" s="1493"/>
    </row>
    <row r="694" spans="2:14" x14ac:dyDescent="0.2">
      <c r="B694" s="1593"/>
      <c r="C694" s="1592"/>
      <c r="J694" s="1598"/>
      <c r="N694" s="1493"/>
    </row>
    <row r="695" spans="2:14" x14ac:dyDescent="0.2">
      <c r="B695" s="1593"/>
      <c r="C695" s="1592"/>
      <c r="J695" s="1598"/>
      <c r="N695" s="1493"/>
    </row>
    <row r="696" spans="2:14" x14ac:dyDescent="0.2">
      <c r="B696" s="1593"/>
      <c r="C696" s="1592"/>
      <c r="J696" s="1598"/>
      <c r="N696" s="1493"/>
    </row>
    <row r="697" spans="2:14" x14ac:dyDescent="0.2">
      <c r="B697" s="1593"/>
      <c r="C697" s="1592"/>
      <c r="J697" s="1598"/>
      <c r="N697" s="1493"/>
    </row>
    <row r="698" spans="2:14" x14ac:dyDescent="0.2">
      <c r="B698" s="1593"/>
      <c r="C698" s="1592"/>
      <c r="J698" s="1598"/>
      <c r="N698" s="1493"/>
    </row>
    <row r="699" spans="2:14" x14ac:dyDescent="0.2">
      <c r="B699" s="1593"/>
      <c r="C699" s="1592"/>
      <c r="J699" s="1598"/>
      <c r="N699" s="1493"/>
    </row>
    <row r="700" spans="2:14" x14ac:dyDescent="0.2">
      <c r="B700" s="1593"/>
      <c r="C700" s="1592"/>
      <c r="J700" s="1598"/>
      <c r="N700" s="1493"/>
    </row>
    <row r="701" spans="2:14" x14ac:dyDescent="0.2">
      <c r="B701" s="1593"/>
      <c r="C701" s="1592"/>
      <c r="J701" s="1598"/>
      <c r="N701" s="1493"/>
    </row>
    <row r="702" spans="2:14" x14ac:dyDescent="0.2">
      <c r="B702" s="1593"/>
      <c r="C702" s="1592"/>
      <c r="J702" s="1598"/>
      <c r="N702" s="1493"/>
    </row>
    <row r="703" spans="2:14" x14ac:dyDescent="0.2">
      <c r="B703" s="1593"/>
      <c r="C703" s="1592"/>
      <c r="J703" s="1598"/>
      <c r="N703" s="1493"/>
    </row>
    <row r="704" spans="2:14" x14ac:dyDescent="0.2">
      <c r="B704" s="1593"/>
      <c r="C704" s="1592"/>
      <c r="J704" s="1598"/>
      <c r="N704" s="1493"/>
    </row>
    <row r="705" spans="2:14" x14ac:dyDescent="0.2">
      <c r="B705" s="1593"/>
      <c r="C705" s="1592"/>
      <c r="J705" s="1598"/>
      <c r="N705" s="1493"/>
    </row>
    <row r="706" spans="2:14" x14ac:dyDescent="0.2">
      <c r="B706" s="1593"/>
      <c r="C706" s="1592"/>
      <c r="J706" s="1598"/>
      <c r="N706" s="1493"/>
    </row>
    <row r="707" spans="2:14" x14ac:dyDescent="0.2">
      <c r="B707" s="1593"/>
      <c r="C707" s="1592"/>
      <c r="J707" s="1598"/>
      <c r="N707" s="1493"/>
    </row>
    <row r="708" spans="2:14" x14ac:dyDescent="0.2">
      <c r="B708" s="1593"/>
      <c r="C708" s="1592"/>
      <c r="J708" s="1598"/>
      <c r="N708" s="1493"/>
    </row>
    <row r="709" spans="2:14" x14ac:dyDescent="0.2">
      <c r="B709" s="1593"/>
      <c r="C709" s="1592"/>
      <c r="J709" s="1598"/>
      <c r="N709" s="1493"/>
    </row>
    <row r="710" spans="2:14" x14ac:dyDescent="0.2">
      <c r="B710" s="1593"/>
      <c r="C710" s="1592"/>
      <c r="J710" s="1598"/>
      <c r="N710" s="1493"/>
    </row>
    <row r="711" spans="2:14" x14ac:dyDescent="0.2">
      <c r="B711" s="1593"/>
      <c r="C711" s="1592"/>
      <c r="J711" s="1598"/>
      <c r="N711" s="1493"/>
    </row>
    <row r="712" spans="2:14" x14ac:dyDescent="0.2">
      <c r="B712" s="1593"/>
      <c r="C712" s="1592"/>
      <c r="J712" s="1598"/>
      <c r="N712" s="1493"/>
    </row>
    <row r="713" spans="2:14" x14ac:dyDescent="0.2">
      <c r="B713" s="1593"/>
      <c r="C713" s="1592"/>
      <c r="J713" s="1598"/>
      <c r="N713" s="1493"/>
    </row>
    <row r="714" spans="2:14" x14ac:dyDescent="0.2">
      <c r="B714" s="1593"/>
      <c r="C714" s="1592"/>
      <c r="J714" s="1598"/>
      <c r="N714" s="1493"/>
    </row>
    <row r="715" spans="2:14" x14ac:dyDescent="0.2">
      <c r="B715" s="1593"/>
      <c r="C715" s="1592"/>
      <c r="J715" s="1598"/>
      <c r="N715" s="1493"/>
    </row>
    <row r="716" spans="2:14" x14ac:dyDescent="0.2">
      <c r="B716" s="1593"/>
      <c r="C716" s="1592"/>
      <c r="J716" s="1598"/>
      <c r="N716" s="1493"/>
    </row>
    <row r="717" spans="2:14" x14ac:dyDescent="0.2">
      <c r="B717" s="1593"/>
      <c r="C717" s="1592"/>
      <c r="J717" s="1598"/>
      <c r="N717" s="1493"/>
    </row>
    <row r="718" spans="2:14" x14ac:dyDescent="0.2">
      <c r="B718" s="1593"/>
      <c r="C718" s="1592"/>
      <c r="J718" s="1598"/>
      <c r="N718" s="1493"/>
    </row>
    <row r="719" spans="2:14" x14ac:dyDescent="0.2">
      <c r="B719" s="1593"/>
      <c r="C719" s="1592"/>
      <c r="J719" s="1598"/>
      <c r="N719" s="1493"/>
    </row>
    <row r="720" spans="2:14" x14ac:dyDescent="0.2">
      <c r="B720" s="1593"/>
      <c r="C720" s="1592"/>
      <c r="J720" s="1598"/>
      <c r="N720" s="1493"/>
    </row>
    <row r="721" spans="2:14" x14ac:dyDescent="0.2">
      <c r="B721" s="1593"/>
      <c r="C721" s="1592"/>
      <c r="J721" s="1598"/>
      <c r="N721" s="1493"/>
    </row>
    <row r="722" spans="2:14" x14ac:dyDescent="0.2">
      <c r="B722" s="1593"/>
      <c r="C722" s="1592"/>
      <c r="J722" s="1598"/>
      <c r="N722" s="1493"/>
    </row>
    <row r="723" spans="2:14" x14ac:dyDescent="0.2">
      <c r="B723" s="1593"/>
      <c r="C723" s="1592"/>
      <c r="J723" s="1598"/>
      <c r="N723" s="1493"/>
    </row>
    <row r="724" spans="2:14" x14ac:dyDescent="0.2">
      <c r="B724" s="1593"/>
      <c r="C724" s="1592"/>
      <c r="J724" s="1598"/>
      <c r="N724" s="1493"/>
    </row>
    <row r="725" spans="2:14" x14ac:dyDescent="0.2">
      <c r="B725" s="1593"/>
      <c r="C725" s="1592"/>
      <c r="J725" s="1598"/>
      <c r="N725" s="1493"/>
    </row>
    <row r="726" spans="2:14" x14ac:dyDescent="0.2">
      <c r="B726" s="1593"/>
      <c r="C726" s="1592"/>
      <c r="J726" s="1598"/>
      <c r="N726" s="1493"/>
    </row>
    <row r="727" spans="2:14" x14ac:dyDescent="0.2">
      <c r="B727" s="1593"/>
      <c r="C727" s="1592"/>
      <c r="J727" s="1598"/>
      <c r="N727" s="1493"/>
    </row>
    <row r="728" spans="2:14" x14ac:dyDescent="0.2">
      <c r="B728" s="1593"/>
      <c r="C728" s="1592"/>
      <c r="J728" s="1598"/>
      <c r="N728" s="1493"/>
    </row>
    <row r="729" spans="2:14" x14ac:dyDescent="0.2">
      <c r="B729" s="1593"/>
      <c r="C729" s="1592"/>
      <c r="J729" s="1598"/>
      <c r="N729" s="1493"/>
    </row>
    <row r="730" spans="2:14" x14ac:dyDescent="0.2">
      <c r="B730" s="1593"/>
      <c r="C730" s="1592"/>
      <c r="J730" s="1598"/>
      <c r="N730" s="1493"/>
    </row>
    <row r="731" spans="2:14" x14ac:dyDescent="0.2">
      <c r="B731" s="1593"/>
      <c r="C731" s="1592"/>
      <c r="J731" s="1598"/>
      <c r="N731" s="1493"/>
    </row>
    <row r="732" spans="2:14" x14ac:dyDescent="0.2">
      <c r="B732" s="1593"/>
      <c r="C732" s="1592"/>
      <c r="J732" s="1598"/>
      <c r="N732" s="1493"/>
    </row>
    <row r="733" spans="2:14" x14ac:dyDescent="0.2">
      <c r="B733" s="1593"/>
      <c r="C733" s="1592"/>
      <c r="J733" s="1598"/>
      <c r="N733" s="1493"/>
    </row>
    <row r="734" spans="2:14" x14ac:dyDescent="0.2">
      <c r="B734" s="1593"/>
      <c r="C734" s="1592"/>
      <c r="J734" s="1598"/>
      <c r="N734" s="1493"/>
    </row>
    <row r="735" spans="2:14" x14ac:dyDescent="0.2">
      <c r="B735" s="1593"/>
      <c r="C735" s="1592"/>
      <c r="J735" s="1598"/>
      <c r="N735" s="1493"/>
    </row>
    <row r="736" spans="2:14" x14ac:dyDescent="0.2">
      <c r="B736" s="1593"/>
      <c r="C736" s="1592"/>
      <c r="J736" s="1598"/>
      <c r="N736" s="1493"/>
    </row>
    <row r="737" spans="2:14" x14ac:dyDescent="0.2">
      <c r="B737" s="1593"/>
      <c r="C737" s="1592"/>
      <c r="J737" s="1598"/>
      <c r="N737" s="1493"/>
    </row>
    <row r="738" spans="2:14" x14ac:dyDescent="0.2">
      <c r="B738" s="1593"/>
      <c r="C738" s="1592"/>
      <c r="J738" s="1598"/>
      <c r="N738" s="1493"/>
    </row>
    <row r="739" spans="2:14" x14ac:dyDescent="0.2">
      <c r="B739" s="1593"/>
      <c r="C739" s="1592"/>
      <c r="J739" s="1598"/>
      <c r="N739" s="1493"/>
    </row>
    <row r="740" spans="2:14" x14ac:dyDescent="0.2">
      <c r="B740" s="1593"/>
      <c r="C740" s="1592"/>
      <c r="J740" s="1598"/>
      <c r="N740" s="1493"/>
    </row>
    <row r="741" spans="2:14" x14ac:dyDescent="0.2">
      <c r="B741" s="1593"/>
      <c r="C741" s="1592"/>
      <c r="J741" s="1598"/>
      <c r="N741" s="1493"/>
    </row>
    <row r="742" spans="2:14" x14ac:dyDescent="0.2">
      <c r="B742" s="1593"/>
      <c r="C742" s="1592"/>
      <c r="J742" s="1598"/>
      <c r="N742" s="1493"/>
    </row>
    <row r="743" spans="2:14" x14ac:dyDescent="0.2">
      <c r="B743" s="1593"/>
      <c r="C743" s="1592"/>
      <c r="J743" s="1598"/>
      <c r="N743" s="1493"/>
    </row>
    <row r="744" spans="2:14" x14ac:dyDescent="0.2">
      <c r="B744" s="1593"/>
      <c r="C744" s="1592"/>
      <c r="J744" s="1598"/>
      <c r="N744" s="1493"/>
    </row>
    <row r="745" spans="2:14" x14ac:dyDescent="0.2">
      <c r="B745" s="1593"/>
      <c r="C745" s="1592"/>
      <c r="J745" s="1598"/>
      <c r="N745" s="1493"/>
    </row>
    <row r="746" spans="2:14" x14ac:dyDescent="0.2">
      <c r="B746" s="1593"/>
      <c r="C746" s="1592"/>
      <c r="J746" s="1598"/>
      <c r="N746" s="1493"/>
    </row>
    <row r="747" spans="2:14" x14ac:dyDescent="0.2">
      <c r="B747" s="1593"/>
      <c r="C747" s="1592"/>
      <c r="J747" s="1598"/>
      <c r="N747" s="1493"/>
    </row>
    <row r="748" spans="2:14" x14ac:dyDescent="0.2">
      <c r="B748" s="1593"/>
      <c r="C748" s="1592"/>
      <c r="J748" s="1598"/>
      <c r="N748" s="1493"/>
    </row>
    <row r="749" spans="2:14" x14ac:dyDescent="0.2">
      <c r="B749" s="1593"/>
      <c r="C749" s="1592"/>
      <c r="J749" s="1598"/>
      <c r="N749" s="1493"/>
    </row>
    <row r="750" spans="2:14" x14ac:dyDescent="0.2">
      <c r="B750" s="1593"/>
      <c r="C750" s="1592"/>
      <c r="J750" s="1598"/>
      <c r="N750" s="1493"/>
    </row>
    <row r="751" spans="2:14" x14ac:dyDescent="0.2">
      <c r="B751" s="1593"/>
      <c r="C751" s="1592"/>
      <c r="J751" s="1598"/>
      <c r="N751" s="1493"/>
    </row>
    <row r="752" spans="2:14" x14ac:dyDescent="0.2">
      <c r="B752" s="1593"/>
      <c r="C752" s="1592"/>
      <c r="J752" s="1598"/>
      <c r="N752" s="1493"/>
    </row>
    <row r="753" spans="2:14" x14ac:dyDescent="0.2">
      <c r="B753" s="1593"/>
      <c r="C753" s="1592"/>
      <c r="J753" s="1598"/>
      <c r="N753" s="1493"/>
    </row>
    <row r="754" spans="2:14" x14ac:dyDescent="0.2">
      <c r="B754" s="1593"/>
      <c r="C754" s="1592"/>
      <c r="J754" s="1598"/>
      <c r="N754" s="1493"/>
    </row>
    <row r="755" spans="2:14" x14ac:dyDescent="0.2">
      <c r="B755" s="1593"/>
      <c r="C755" s="1592"/>
      <c r="J755" s="1598"/>
      <c r="N755" s="1493"/>
    </row>
    <row r="756" spans="2:14" x14ac:dyDescent="0.2">
      <c r="B756" s="1593"/>
      <c r="C756" s="1592"/>
      <c r="J756" s="1598"/>
      <c r="N756" s="1493"/>
    </row>
    <row r="757" spans="2:14" x14ac:dyDescent="0.2">
      <c r="B757" s="1593"/>
      <c r="C757" s="1592"/>
      <c r="J757" s="1598"/>
      <c r="N757" s="1493"/>
    </row>
    <row r="758" spans="2:14" x14ac:dyDescent="0.2">
      <c r="B758" s="1593"/>
      <c r="C758" s="1592"/>
      <c r="J758" s="1598"/>
      <c r="N758" s="1493"/>
    </row>
    <row r="759" spans="2:14" x14ac:dyDescent="0.2">
      <c r="B759" s="1593"/>
      <c r="C759" s="1592"/>
      <c r="J759" s="1598"/>
      <c r="N759" s="1493"/>
    </row>
    <row r="760" spans="2:14" x14ac:dyDescent="0.2">
      <c r="B760" s="1593"/>
      <c r="C760" s="1592"/>
      <c r="J760" s="1598"/>
      <c r="N760" s="1493"/>
    </row>
    <row r="761" spans="2:14" x14ac:dyDescent="0.2">
      <c r="B761" s="1593"/>
      <c r="C761" s="1592"/>
      <c r="J761" s="1598"/>
      <c r="N761" s="1493"/>
    </row>
    <row r="762" spans="2:14" x14ac:dyDescent="0.2">
      <c r="B762" s="1593"/>
      <c r="C762" s="1592"/>
      <c r="J762" s="1598"/>
      <c r="N762" s="1493"/>
    </row>
    <row r="763" spans="2:14" x14ac:dyDescent="0.2">
      <c r="B763" s="1593"/>
      <c r="C763" s="1592"/>
      <c r="J763" s="1598"/>
      <c r="N763" s="1493"/>
    </row>
    <row r="764" spans="2:14" x14ac:dyDescent="0.2">
      <c r="B764" s="1593"/>
      <c r="C764" s="1592"/>
      <c r="J764" s="1598"/>
      <c r="N764" s="1493"/>
    </row>
    <row r="765" spans="2:14" x14ac:dyDescent="0.2">
      <c r="B765" s="1593"/>
      <c r="C765" s="1592"/>
      <c r="J765" s="1598"/>
      <c r="N765" s="1493"/>
    </row>
    <row r="766" spans="2:14" x14ac:dyDescent="0.2">
      <c r="B766" s="1593"/>
      <c r="C766" s="1592"/>
      <c r="J766" s="1598"/>
      <c r="N766" s="1493"/>
    </row>
    <row r="767" spans="2:14" x14ac:dyDescent="0.2">
      <c r="B767" s="1593"/>
      <c r="C767" s="1592"/>
      <c r="J767" s="1598"/>
      <c r="N767" s="1493"/>
    </row>
    <row r="768" spans="2:14" x14ac:dyDescent="0.2">
      <c r="B768" s="1593"/>
      <c r="C768" s="1592"/>
      <c r="J768" s="1598"/>
      <c r="N768" s="1493"/>
    </row>
    <row r="769" spans="2:14" x14ac:dyDescent="0.2">
      <c r="B769" s="1593"/>
      <c r="C769" s="1592"/>
      <c r="J769" s="1598"/>
      <c r="N769" s="1493"/>
    </row>
    <row r="770" spans="2:14" x14ac:dyDescent="0.2">
      <c r="B770" s="1593"/>
      <c r="C770" s="1592"/>
      <c r="J770" s="1598"/>
      <c r="N770" s="1493"/>
    </row>
    <row r="771" spans="2:14" x14ac:dyDescent="0.2">
      <c r="B771" s="1593"/>
      <c r="C771" s="1592"/>
      <c r="J771" s="1598"/>
      <c r="N771" s="1493"/>
    </row>
    <row r="772" spans="2:14" x14ac:dyDescent="0.2">
      <c r="B772" s="1593"/>
      <c r="C772" s="1592"/>
      <c r="J772" s="1598"/>
      <c r="N772" s="1493"/>
    </row>
    <row r="773" spans="2:14" x14ac:dyDescent="0.2">
      <c r="B773" s="1593"/>
      <c r="C773" s="1592"/>
      <c r="J773" s="1598"/>
      <c r="N773" s="1493"/>
    </row>
    <row r="774" spans="2:14" x14ac:dyDescent="0.2">
      <c r="B774" s="1593"/>
      <c r="C774" s="1592"/>
      <c r="J774" s="1598"/>
      <c r="N774" s="1493"/>
    </row>
    <row r="775" spans="2:14" x14ac:dyDescent="0.2">
      <c r="B775" s="1593"/>
      <c r="C775" s="1592"/>
      <c r="J775" s="1598"/>
      <c r="N775" s="1493"/>
    </row>
    <row r="776" spans="2:14" x14ac:dyDescent="0.2">
      <c r="B776" s="1593"/>
      <c r="C776" s="1592"/>
      <c r="J776" s="1598"/>
      <c r="N776" s="1493"/>
    </row>
    <row r="777" spans="2:14" x14ac:dyDescent="0.2">
      <c r="B777" s="1593"/>
      <c r="C777" s="1592"/>
      <c r="J777" s="1598"/>
      <c r="N777" s="1493"/>
    </row>
    <row r="778" spans="2:14" x14ac:dyDescent="0.2">
      <c r="B778" s="1593"/>
      <c r="C778" s="1592"/>
      <c r="J778" s="1598"/>
      <c r="N778" s="1493"/>
    </row>
    <row r="779" spans="2:14" x14ac:dyDescent="0.2">
      <c r="B779" s="1593"/>
      <c r="C779" s="1592"/>
      <c r="J779" s="1598"/>
      <c r="N779" s="1493"/>
    </row>
    <row r="780" spans="2:14" x14ac:dyDescent="0.2">
      <c r="B780" s="1593"/>
      <c r="C780" s="1592"/>
      <c r="J780" s="1598"/>
      <c r="N780" s="1493"/>
    </row>
    <row r="781" spans="2:14" x14ac:dyDescent="0.2">
      <c r="B781" s="1593"/>
      <c r="C781" s="1592"/>
      <c r="J781" s="1598"/>
      <c r="N781" s="1493"/>
    </row>
    <row r="782" spans="2:14" x14ac:dyDescent="0.2">
      <c r="B782" s="1593"/>
      <c r="C782" s="1592"/>
      <c r="J782" s="1598"/>
      <c r="N782" s="1493"/>
    </row>
    <row r="783" spans="2:14" x14ac:dyDescent="0.2">
      <c r="B783" s="1593"/>
      <c r="C783" s="1592"/>
      <c r="J783" s="1598"/>
      <c r="N783" s="1493"/>
    </row>
    <row r="784" spans="2:14" x14ac:dyDescent="0.2">
      <c r="B784" s="1593"/>
      <c r="C784" s="1592"/>
      <c r="J784" s="1598"/>
      <c r="N784" s="1493"/>
    </row>
    <row r="785" spans="2:14" x14ac:dyDescent="0.2">
      <c r="B785" s="1593"/>
      <c r="C785" s="1592"/>
      <c r="J785" s="1598"/>
      <c r="N785" s="1493"/>
    </row>
    <row r="786" spans="2:14" x14ac:dyDescent="0.2">
      <c r="B786" s="1593"/>
      <c r="C786" s="1592"/>
      <c r="J786" s="1598"/>
      <c r="N786" s="1493"/>
    </row>
    <row r="787" spans="2:14" x14ac:dyDescent="0.2">
      <c r="B787" s="1593"/>
      <c r="C787" s="1592"/>
      <c r="J787" s="1598"/>
      <c r="N787" s="1493"/>
    </row>
    <row r="788" spans="2:14" x14ac:dyDescent="0.2">
      <c r="B788" s="1593"/>
      <c r="C788" s="1592"/>
      <c r="J788" s="1598"/>
      <c r="N788" s="1493"/>
    </row>
    <row r="789" spans="2:14" x14ac:dyDescent="0.2">
      <c r="B789" s="1593"/>
      <c r="C789" s="1592"/>
      <c r="J789" s="1598"/>
      <c r="N789" s="1493"/>
    </row>
    <row r="790" spans="2:14" x14ac:dyDescent="0.2">
      <c r="B790" s="1593"/>
      <c r="C790" s="1592"/>
      <c r="J790" s="1598"/>
      <c r="N790" s="1493"/>
    </row>
    <row r="791" spans="2:14" x14ac:dyDescent="0.2">
      <c r="B791" s="1593"/>
      <c r="C791" s="1592"/>
      <c r="J791" s="1598"/>
      <c r="N791" s="1493"/>
    </row>
    <row r="792" spans="2:14" x14ac:dyDescent="0.2">
      <c r="B792" s="1593"/>
      <c r="C792" s="1592"/>
      <c r="J792" s="1598"/>
      <c r="N792" s="1493"/>
    </row>
    <row r="793" spans="2:14" x14ac:dyDescent="0.2">
      <c r="B793" s="1593"/>
      <c r="C793" s="1592"/>
      <c r="J793" s="1598"/>
      <c r="N793" s="1493"/>
    </row>
    <row r="794" spans="2:14" x14ac:dyDescent="0.2">
      <c r="B794" s="1593"/>
      <c r="C794" s="1592"/>
      <c r="J794" s="1598"/>
      <c r="N794" s="1493"/>
    </row>
    <row r="795" spans="2:14" x14ac:dyDescent="0.2">
      <c r="B795" s="1593"/>
      <c r="C795" s="1592"/>
      <c r="J795" s="1598"/>
      <c r="N795" s="1493"/>
    </row>
    <row r="796" spans="2:14" x14ac:dyDescent="0.2">
      <c r="B796" s="1593"/>
      <c r="C796" s="1592"/>
      <c r="J796" s="1598"/>
      <c r="N796" s="1493"/>
    </row>
    <row r="797" spans="2:14" x14ac:dyDescent="0.2">
      <c r="B797" s="1593"/>
      <c r="C797" s="1592"/>
      <c r="J797" s="1598"/>
      <c r="N797" s="1493"/>
    </row>
    <row r="798" spans="2:14" x14ac:dyDescent="0.2">
      <c r="B798" s="1593"/>
      <c r="C798" s="1592"/>
      <c r="J798" s="1598"/>
      <c r="N798" s="1493"/>
    </row>
    <row r="799" spans="2:14" x14ac:dyDescent="0.2">
      <c r="B799" s="1593"/>
      <c r="C799" s="1592"/>
      <c r="J799" s="1598"/>
      <c r="N799" s="1493"/>
    </row>
    <row r="800" spans="2:14" x14ac:dyDescent="0.2">
      <c r="B800" s="1593"/>
      <c r="C800" s="1592"/>
      <c r="J800" s="1598"/>
      <c r="N800" s="1493"/>
    </row>
    <row r="801" spans="2:14" x14ac:dyDescent="0.2">
      <c r="B801" s="1593"/>
      <c r="C801" s="1592"/>
      <c r="J801" s="1598"/>
      <c r="N801" s="1493"/>
    </row>
    <row r="802" spans="2:14" x14ac:dyDescent="0.2">
      <c r="B802" s="1593"/>
      <c r="C802" s="1592"/>
      <c r="J802" s="1598"/>
      <c r="N802" s="1493"/>
    </row>
    <row r="803" spans="2:14" x14ac:dyDescent="0.2">
      <c r="B803" s="1593"/>
      <c r="C803" s="1592"/>
      <c r="J803" s="1598"/>
      <c r="N803" s="1493"/>
    </row>
    <row r="804" spans="2:14" x14ac:dyDescent="0.2">
      <c r="B804" s="1593"/>
      <c r="C804" s="1592"/>
      <c r="J804" s="1598"/>
      <c r="N804" s="1493"/>
    </row>
    <row r="805" spans="2:14" x14ac:dyDescent="0.2">
      <c r="B805" s="1593"/>
      <c r="C805" s="1592"/>
      <c r="J805" s="1598"/>
      <c r="N805" s="1493"/>
    </row>
    <row r="806" spans="2:14" x14ac:dyDescent="0.2">
      <c r="B806" s="1593"/>
      <c r="C806" s="1592"/>
      <c r="J806" s="1598"/>
      <c r="N806" s="1493"/>
    </row>
    <row r="807" spans="2:14" x14ac:dyDescent="0.2">
      <c r="B807" s="1593"/>
      <c r="C807" s="1592"/>
      <c r="J807" s="1598"/>
      <c r="N807" s="1493"/>
    </row>
    <row r="808" spans="2:14" x14ac:dyDescent="0.2">
      <c r="B808" s="1593"/>
      <c r="C808" s="1592"/>
      <c r="J808" s="1598"/>
      <c r="N808" s="1493"/>
    </row>
    <row r="809" spans="2:14" x14ac:dyDescent="0.2">
      <c r="B809" s="1593"/>
      <c r="C809" s="1592"/>
      <c r="J809" s="1598"/>
      <c r="N809" s="1493"/>
    </row>
    <row r="810" spans="2:14" x14ac:dyDescent="0.2">
      <c r="B810" s="1593"/>
      <c r="C810" s="1592"/>
      <c r="J810" s="1598"/>
      <c r="N810" s="1493"/>
    </row>
    <row r="811" spans="2:14" x14ac:dyDescent="0.2">
      <c r="B811" s="1593"/>
      <c r="C811" s="1592"/>
      <c r="J811" s="1598"/>
      <c r="N811" s="1493"/>
    </row>
    <row r="812" spans="2:14" x14ac:dyDescent="0.2">
      <c r="B812" s="1593"/>
      <c r="C812" s="1592"/>
      <c r="J812" s="1598"/>
      <c r="N812" s="1493"/>
    </row>
    <row r="813" spans="2:14" x14ac:dyDescent="0.2">
      <c r="B813" s="1593"/>
      <c r="C813" s="1592"/>
      <c r="J813" s="1598"/>
      <c r="N813" s="1493"/>
    </row>
    <row r="814" spans="2:14" x14ac:dyDescent="0.2">
      <c r="B814" s="1593"/>
      <c r="C814" s="1592"/>
      <c r="J814" s="1598"/>
      <c r="N814" s="1493"/>
    </row>
    <row r="815" spans="2:14" x14ac:dyDescent="0.2">
      <c r="B815" s="1593"/>
      <c r="C815" s="1592"/>
      <c r="J815" s="1598"/>
      <c r="N815" s="1493"/>
    </row>
    <row r="816" spans="2:14" x14ac:dyDescent="0.2">
      <c r="B816" s="1593"/>
      <c r="C816" s="1592"/>
      <c r="J816" s="1598"/>
      <c r="N816" s="1493"/>
    </row>
    <row r="817" spans="2:14" x14ac:dyDescent="0.2">
      <c r="B817" s="1593"/>
      <c r="C817" s="1592"/>
      <c r="J817" s="1598"/>
      <c r="N817" s="1493"/>
    </row>
    <row r="818" spans="2:14" x14ac:dyDescent="0.2">
      <c r="B818" s="1593"/>
      <c r="C818" s="1592"/>
      <c r="J818" s="1598"/>
      <c r="N818" s="1493"/>
    </row>
    <row r="819" spans="2:14" x14ac:dyDescent="0.2">
      <c r="B819" s="1593"/>
      <c r="C819" s="1592"/>
      <c r="J819" s="1598"/>
      <c r="N819" s="1493"/>
    </row>
    <row r="820" spans="2:14" x14ac:dyDescent="0.2">
      <c r="B820" s="1593"/>
      <c r="C820" s="1592"/>
      <c r="J820" s="1598"/>
      <c r="N820" s="1493"/>
    </row>
    <row r="821" spans="2:14" x14ac:dyDescent="0.2">
      <c r="B821" s="1593"/>
      <c r="C821" s="1592"/>
      <c r="J821" s="1598"/>
      <c r="N821" s="1493"/>
    </row>
    <row r="822" spans="2:14" x14ac:dyDescent="0.2">
      <c r="B822" s="1593"/>
      <c r="C822" s="1592"/>
      <c r="J822" s="1598"/>
      <c r="N822" s="1493"/>
    </row>
    <row r="823" spans="2:14" x14ac:dyDescent="0.2">
      <c r="B823" s="1593"/>
      <c r="C823" s="1592"/>
      <c r="J823" s="1598"/>
      <c r="N823" s="1493"/>
    </row>
    <row r="824" spans="2:14" x14ac:dyDescent="0.2">
      <c r="B824" s="1593"/>
      <c r="C824" s="1592"/>
      <c r="J824" s="1598"/>
      <c r="N824" s="1493"/>
    </row>
    <row r="825" spans="2:14" x14ac:dyDescent="0.2">
      <c r="B825" s="1593"/>
      <c r="C825" s="1592"/>
      <c r="J825" s="1598"/>
      <c r="N825" s="1493"/>
    </row>
    <row r="826" spans="2:14" x14ac:dyDescent="0.2">
      <c r="B826" s="1593"/>
      <c r="C826" s="1592"/>
      <c r="J826" s="1598"/>
      <c r="N826" s="1493"/>
    </row>
    <row r="827" spans="2:14" x14ac:dyDescent="0.2">
      <c r="B827" s="1593"/>
      <c r="C827" s="1592"/>
      <c r="J827" s="1598"/>
      <c r="N827" s="1493"/>
    </row>
    <row r="828" spans="2:14" x14ac:dyDescent="0.2">
      <c r="B828" s="1593"/>
      <c r="C828" s="1592"/>
      <c r="J828" s="1598"/>
      <c r="N828" s="1493"/>
    </row>
    <row r="829" spans="2:14" x14ac:dyDescent="0.2">
      <c r="B829" s="1593"/>
      <c r="C829" s="1592"/>
      <c r="J829" s="1598"/>
      <c r="N829" s="1493"/>
    </row>
    <row r="830" spans="2:14" x14ac:dyDescent="0.2">
      <c r="B830" s="1593"/>
      <c r="C830" s="1592"/>
      <c r="J830" s="1598"/>
      <c r="N830" s="1493"/>
    </row>
    <row r="831" spans="2:14" x14ac:dyDescent="0.2">
      <c r="B831" s="1593"/>
      <c r="C831" s="1592"/>
      <c r="J831" s="1598"/>
      <c r="N831" s="1493"/>
    </row>
    <row r="832" spans="2:14" x14ac:dyDescent="0.2">
      <c r="B832" s="1593"/>
      <c r="C832" s="1592"/>
      <c r="J832" s="1598"/>
      <c r="N832" s="1493"/>
    </row>
    <row r="833" spans="2:14" x14ac:dyDescent="0.2">
      <c r="B833" s="1593"/>
      <c r="C833" s="1592"/>
      <c r="J833" s="1598"/>
      <c r="N833" s="1493"/>
    </row>
    <row r="834" spans="2:14" x14ac:dyDescent="0.2">
      <c r="B834" s="1593"/>
      <c r="C834" s="1592"/>
      <c r="J834" s="1598"/>
      <c r="N834" s="1493"/>
    </row>
    <row r="835" spans="2:14" x14ac:dyDescent="0.2">
      <c r="B835" s="1593"/>
      <c r="C835" s="1592"/>
      <c r="J835" s="1598"/>
      <c r="N835" s="1493"/>
    </row>
    <row r="836" spans="2:14" x14ac:dyDescent="0.2">
      <c r="B836" s="1593"/>
      <c r="C836" s="1592"/>
      <c r="J836" s="1598"/>
      <c r="N836" s="1493"/>
    </row>
    <row r="837" spans="2:14" x14ac:dyDescent="0.2">
      <c r="B837" s="1593"/>
      <c r="C837" s="1592"/>
      <c r="J837" s="1598"/>
      <c r="N837" s="1493"/>
    </row>
    <row r="838" spans="2:14" x14ac:dyDescent="0.2">
      <c r="B838" s="1593"/>
      <c r="C838" s="1592"/>
      <c r="J838" s="1598"/>
      <c r="N838" s="1493"/>
    </row>
    <row r="839" spans="2:14" x14ac:dyDescent="0.2">
      <c r="B839" s="1593"/>
      <c r="C839" s="1592"/>
      <c r="J839" s="1598"/>
      <c r="N839" s="1493"/>
    </row>
    <row r="840" spans="2:14" x14ac:dyDescent="0.2">
      <c r="B840" s="1593"/>
      <c r="C840" s="1592"/>
      <c r="J840" s="1598"/>
      <c r="N840" s="1493"/>
    </row>
    <row r="841" spans="2:14" x14ac:dyDescent="0.2">
      <c r="B841" s="1593"/>
      <c r="C841" s="1592"/>
      <c r="J841" s="1598"/>
      <c r="N841" s="1493"/>
    </row>
    <row r="842" spans="2:14" x14ac:dyDescent="0.2">
      <c r="B842" s="1593"/>
      <c r="C842" s="1592"/>
      <c r="J842" s="1598"/>
      <c r="N842" s="1493"/>
    </row>
    <row r="843" spans="2:14" x14ac:dyDescent="0.2">
      <c r="B843" s="1593"/>
      <c r="C843" s="1592"/>
      <c r="J843" s="1598"/>
      <c r="N843" s="1493"/>
    </row>
    <row r="844" spans="2:14" x14ac:dyDescent="0.2">
      <c r="B844" s="1593"/>
      <c r="C844" s="1592"/>
      <c r="J844" s="1598"/>
      <c r="N844" s="1493"/>
    </row>
    <row r="845" spans="2:14" x14ac:dyDescent="0.2">
      <c r="B845" s="1593"/>
      <c r="C845" s="1592"/>
      <c r="J845" s="1598"/>
      <c r="N845" s="1493"/>
    </row>
    <row r="846" spans="2:14" x14ac:dyDescent="0.2">
      <c r="B846" s="1593"/>
      <c r="C846" s="1592"/>
      <c r="J846" s="1598"/>
      <c r="N846" s="1493"/>
    </row>
    <row r="847" spans="2:14" x14ac:dyDescent="0.2">
      <c r="B847" s="1593"/>
      <c r="C847" s="1592"/>
      <c r="J847" s="1598"/>
      <c r="N847" s="1493"/>
    </row>
    <row r="848" spans="2:14" x14ac:dyDescent="0.2">
      <c r="B848" s="1593"/>
      <c r="C848" s="1592"/>
      <c r="J848" s="1598"/>
      <c r="N848" s="1493"/>
    </row>
    <row r="849" spans="2:14" x14ac:dyDescent="0.2">
      <c r="B849" s="1593"/>
      <c r="C849" s="1592"/>
      <c r="J849" s="1598"/>
      <c r="N849" s="1493"/>
    </row>
    <row r="850" spans="2:14" x14ac:dyDescent="0.2">
      <c r="B850" s="1593"/>
      <c r="C850" s="1592"/>
      <c r="J850" s="1598"/>
      <c r="N850" s="1493"/>
    </row>
    <row r="851" spans="2:14" x14ac:dyDescent="0.2">
      <c r="B851" s="1593"/>
      <c r="C851" s="1592"/>
      <c r="J851" s="1598"/>
      <c r="N851" s="1493"/>
    </row>
    <row r="852" spans="2:14" x14ac:dyDescent="0.2">
      <c r="B852" s="1593"/>
      <c r="C852" s="1592"/>
      <c r="J852" s="1598"/>
      <c r="N852" s="1493"/>
    </row>
    <row r="853" spans="2:14" x14ac:dyDescent="0.2">
      <c r="B853" s="1593"/>
      <c r="C853" s="1592"/>
      <c r="J853" s="1598"/>
      <c r="N853" s="1493"/>
    </row>
    <row r="854" spans="2:14" x14ac:dyDescent="0.2">
      <c r="B854" s="1593"/>
      <c r="C854" s="1592"/>
      <c r="J854" s="1598"/>
      <c r="N854" s="1493"/>
    </row>
    <row r="855" spans="2:14" x14ac:dyDescent="0.2">
      <c r="B855" s="1593"/>
      <c r="C855" s="1592"/>
      <c r="J855" s="1598"/>
      <c r="N855" s="1493"/>
    </row>
    <row r="856" spans="2:14" x14ac:dyDescent="0.2">
      <c r="B856" s="1593"/>
      <c r="C856" s="1592"/>
      <c r="J856" s="1598"/>
      <c r="N856" s="1493"/>
    </row>
    <row r="857" spans="2:14" x14ac:dyDescent="0.2">
      <c r="B857" s="1593"/>
      <c r="C857" s="1592"/>
      <c r="J857" s="1598"/>
      <c r="N857" s="1493"/>
    </row>
    <row r="858" spans="2:14" x14ac:dyDescent="0.2">
      <c r="B858" s="1593"/>
      <c r="C858" s="1592"/>
      <c r="J858" s="1598"/>
      <c r="N858" s="1493"/>
    </row>
    <row r="859" spans="2:14" x14ac:dyDescent="0.2">
      <c r="B859" s="1593"/>
      <c r="C859" s="1592"/>
      <c r="J859" s="1598"/>
      <c r="N859" s="1493"/>
    </row>
    <row r="860" spans="2:14" x14ac:dyDescent="0.2">
      <c r="B860" s="1593"/>
      <c r="C860" s="1592"/>
      <c r="J860" s="1598"/>
      <c r="N860" s="1493"/>
    </row>
    <row r="861" spans="2:14" x14ac:dyDescent="0.2">
      <c r="B861" s="1593"/>
      <c r="C861" s="1592"/>
      <c r="J861" s="1598"/>
      <c r="N861" s="1493"/>
    </row>
    <row r="862" spans="2:14" x14ac:dyDescent="0.2">
      <c r="B862" s="1593"/>
      <c r="C862" s="1592"/>
      <c r="J862" s="1598"/>
      <c r="N862" s="1493"/>
    </row>
    <row r="863" spans="2:14" x14ac:dyDescent="0.2">
      <c r="B863" s="1593"/>
      <c r="C863" s="1592"/>
      <c r="J863" s="1598"/>
      <c r="N863" s="1493"/>
    </row>
    <row r="864" spans="2:14" x14ac:dyDescent="0.2">
      <c r="B864" s="1593"/>
      <c r="C864" s="1592"/>
      <c r="J864" s="1598"/>
      <c r="N864" s="1493"/>
    </row>
    <row r="865" spans="2:14" x14ac:dyDescent="0.2">
      <c r="B865" s="1593"/>
      <c r="C865" s="1592"/>
      <c r="J865" s="1598"/>
      <c r="N865" s="1493"/>
    </row>
    <row r="866" spans="2:14" x14ac:dyDescent="0.2">
      <c r="B866" s="1593"/>
      <c r="C866" s="1592"/>
      <c r="J866" s="1598"/>
      <c r="N866" s="1493"/>
    </row>
    <row r="867" spans="2:14" x14ac:dyDescent="0.2">
      <c r="B867" s="1593"/>
      <c r="C867" s="1592"/>
      <c r="J867" s="1598"/>
      <c r="N867" s="1493"/>
    </row>
    <row r="868" spans="2:14" x14ac:dyDescent="0.2">
      <c r="B868" s="1593"/>
      <c r="C868" s="1592"/>
      <c r="J868" s="1598"/>
      <c r="N868" s="1493"/>
    </row>
    <row r="869" spans="2:14" x14ac:dyDescent="0.2">
      <c r="B869" s="1593"/>
      <c r="C869" s="1592"/>
      <c r="J869" s="1598"/>
      <c r="N869" s="1493"/>
    </row>
    <row r="870" spans="2:14" x14ac:dyDescent="0.2">
      <c r="B870" s="1593"/>
      <c r="C870" s="1592"/>
      <c r="J870" s="1598"/>
      <c r="N870" s="1493"/>
    </row>
    <row r="871" spans="2:14" x14ac:dyDescent="0.2">
      <c r="B871" s="1593"/>
      <c r="C871" s="1592"/>
      <c r="J871" s="1598"/>
      <c r="N871" s="1493"/>
    </row>
    <row r="872" spans="2:14" x14ac:dyDescent="0.2">
      <c r="B872" s="1593"/>
      <c r="C872" s="1592"/>
      <c r="J872" s="1598"/>
      <c r="N872" s="1493"/>
    </row>
    <row r="873" spans="2:14" x14ac:dyDescent="0.2">
      <c r="B873" s="1593"/>
      <c r="C873" s="1592"/>
      <c r="J873" s="1598"/>
      <c r="N873" s="1493"/>
    </row>
    <row r="874" spans="2:14" x14ac:dyDescent="0.2">
      <c r="B874" s="1593"/>
      <c r="C874" s="1592"/>
      <c r="J874" s="1598"/>
      <c r="N874" s="1493"/>
    </row>
    <row r="875" spans="2:14" x14ac:dyDescent="0.2">
      <c r="B875" s="1593"/>
      <c r="C875" s="1592"/>
      <c r="J875" s="1598"/>
      <c r="N875" s="1493"/>
    </row>
    <row r="876" spans="2:14" x14ac:dyDescent="0.2">
      <c r="B876" s="1593"/>
      <c r="C876" s="1592"/>
      <c r="J876" s="1598"/>
      <c r="N876" s="1493"/>
    </row>
    <row r="877" spans="2:14" x14ac:dyDescent="0.2">
      <c r="B877" s="1593"/>
      <c r="C877" s="1592"/>
      <c r="J877" s="1598"/>
      <c r="N877" s="1493"/>
    </row>
    <row r="878" spans="2:14" x14ac:dyDescent="0.2">
      <c r="B878" s="1593"/>
      <c r="C878" s="1592"/>
      <c r="J878" s="1598"/>
      <c r="N878" s="1493"/>
    </row>
    <row r="879" spans="2:14" x14ac:dyDescent="0.2">
      <c r="B879" s="1593"/>
      <c r="C879" s="1592"/>
      <c r="J879" s="1598"/>
      <c r="N879" s="1493"/>
    </row>
    <row r="880" spans="2:14" x14ac:dyDescent="0.2">
      <c r="B880" s="1593"/>
      <c r="C880" s="1592"/>
      <c r="J880" s="1598"/>
      <c r="N880" s="1493"/>
    </row>
    <row r="881" spans="2:14" x14ac:dyDescent="0.2">
      <c r="B881" s="1593"/>
      <c r="C881" s="1592"/>
      <c r="J881" s="1598"/>
      <c r="N881" s="1493"/>
    </row>
    <row r="882" spans="2:14" x14ac:dyDescent="0.2">
      <c r="B882" s="1593"/>
      <c r="C882" s="1592"/>
      <c r="J882" s="1598"/>
      <c r="N882" s="1493"/>
    </row>
    <row r="883" spans="2:14" x14ac:dyDescent="0.2">
      <c r="B883" s="1593"/>
      <c r="C883" s="1592"/>
      <c r="J883" s="1598"/>
      <c r="N883" s="1493"/>
    </row>
    <row r="884" spans="2:14" x14ac:dyDescent="0.2">
      <c r="B884" s="1593"/>
      <c r="C884" s="1592"/>
      <c r="J884" s="1598"/>
      <c r="N884" s="1493"/>
    </row>
    <row r="885" spans="2:14" x14ac:dyDescent="0.2">
      <c r="B885" s="1593"/>
      <c r="C885" s="1592"/>
      <c r="J885" s="1598"/>
      <c r="N885" s="1493"/>
    </row>
    <row r="886" spans="2:14" x14ac:dyDescent="0.2">
      <c r="B886" s="1593"/>
      <c r="C886" s="1592"/>
      <c r="J886" s="1598"/>
      <c r="N886" s="1493"/>
    </row>
    <row r="887" spans="2:14" x14ac:dyDescent="0.2">
      <c r="B887" s="1593"/>
      <c r="C887" s="1592"/>
      <c r="J887" s="1598"/>
      <c r="N887" s="1493"/>
    </row>
    <row r="888" spans="2:14" x14ac:dyDescent="0.2">
      <c r="B888" s="1593"/>
      <c r="C888" s="1592"/>
      <c r="J888" s="1598"/>
      <c r="N888" s="1493"/>
    </row>
    <row r="889" spans="2:14" x14ac:dyDescent="0.2">
      <c r="B889" s="1593"/>
      <c r="C889" s="1592"/>
      <c r="J889" s="1598"/>
      <c r="N889" s="1493"/>
    </row>
    <row r="890" spans="2:14" x14ac:dyDescent="0.2">
      <c r="B890" s="1593"/>
      <c r="C890" s="1592"/>
      <c r="J890" s="1598"/>
      <c r="N890" s="1493"/>
    </row>
    <row r="891" spans="2:14" x14ac:dyDescent="0.2">
      <c r="B891" s="1593"/>
      <c r="C891" s="1592"/>
      <c r="J891" s="1598"/>
      <c r="N891" s="1493"/>
    </row>
    <row r="892" spans="2:14" x14ac:dyDescent="0.2">
      <c r="B892" s="1593"/>
      <c r="C892" s="1592"/>
      <c r="J892" s="1598"/>
      <c r="N892" s="1493"/>
    </row>
    <row r="893" spans="2:14" x14ac:dyDescent="0.2">
      <c r="B893" s="1593"/>
      <c r="C893" s="1592"/>
      <c r="J893" s="1598"/>
      <c r="N893" s="1493"/>
    </row>
    <row r="894" spans="2:14" x14ac:dyDescent="0.2">
      <c r="B894" s="1593"/>
      <c r="C894" s="1592"/>
      <c r="J894" s="1598"/>
      <c r="N894" s="1493"/>
    </row>
    <row r="895" spans="2:14" x14ac:dyDescent="0.2">
      <c r="B895" s="1593"/>
      <c r="C895" s="1592"/>
      <c r="J895" s="1598"/>
      <c r="N895" s="1493"/>
    </row>
    <row r="896" spans="2:14" x14ac:dyDescent="0.2">
      <c r="B896" s="1593"/>
      <c r="C896" s="1592"/>
      <c r="J896" s="1598"/>
      <c r="N896" s="1493"/>
    </row>
    <row r="897" spans="2:14" x14ac:dyDescent="0.2">
      <c r="B897" s="1593"/>
      <c r="C897" s="1592"/>
      <c r="J897" s="1598"/>
      <c r="N897" s="1493"/>
    </row>
    <row r="898" spans="2:14" x14ac:dyDescent="0.2">
      <c r="B898" s="1593"/>
      <c r="C898" s="1592"/>
      <c r="J898" s="1598"/>
      <c r="N898" s="1493"/>
    </row>
    <row r="899" spans="2:14" x14ac:dyDescent="0.2">
      <c r="B899" s="1593"/>
      <c r="C899" s="1592"/>
      <c r="J899" s="1598"/>
      <c r="N899" s="1493"/>
    </row>
    <row r="900" spans="2:14" x14ac:dyDescent="0.2">
      <c r="B900" s="1593"/>
      <c r="C900" s="1592"/>
      <c r="J900" s="1598"/>
      <c r="N900" s="1493"/>
    </row>
    <row r="901" spans="2:14" x14ac:dyDescent="0.2">
      <c r="B901" s="1593"/>
      <c r="C901" s="1592"/>
      <c r="J901" s="1598"/>
      <c r="N901" s="1493"/>
    </row>
    <row r="902" spans="2:14" x14ac:dyDescent="0.2">
      <c r="B902" s="1593"/>
      <c r="C902" s="1592"/>
      <c r="J902" s="1598"/>
      <c r="N902" s="1493"/>
    </row>
    <row r="903" spans="2:14" x14ac:dyDescent="0.2">
      <c r="B903" s="1593"/>
      <c r="C903" s="1592"/>
      <c r="J903" s="1598"/>
      <c r="N903" s="1493"/>
    </row>
    <row r="904" spans="2:14" x14ac:dyDescent="0.2">
      <c r="B904" s="1593"/>
      <c r="C904" s="1592"/>
      <c r="J904" s="1598"/>
      <c r="N904" s="1493"/>
    </row>
    <row r="905" spans="2:14" x14ac:dyDescent="0.2">
      <c r="B905" s="1593"/>
      <c r="C905" s="1592"/>
      <c r="J905" s="1598"/>
      <c r="N905" s="1493"/>
    </row>
    <row r="906" spans="2:14" x14ac:dyDescent="0.2">
      <c r="B906" s="1593"/>
      <c r="C906" s="1592"/>
      <c r="J906" s="1598"/>
      <c r="N906" s="1493"/>
    </row>
    <row r="907" spans="2:14" x14ac:dyDescent="0.2">
      <c r="B907" s="1593"/>
      <c r="C907" s="1592"/>
      <c r="J907" s="1598"/>
      <c r="N907" s="1493"/>
    </row>
    <row r="908" spans="2:14" x14ac:dyDescent="0.2">
      <c r="B908" s="1593"/>
      <c r="C908" s="1592"/>
      <c r="J908" s="1598"/>
      <c r="N908" s="1493"/>
    </row>
    <row r="909" spans="2:14" x14ac:dyDescent="0.2">
      <c r="B909" s="1593"/>
      <c r="C909" s="1592"/>
      <c r="J909" s="1598"/>
      <c r="N909" s="1493"/>
    </row>
    <row r="910" spans="2:14" x14ac:dyDescent="0.2">
      <c r="B910" s="1593"/>
      <c r="C910" s="1592"/>
      <c r="J910" s="1598"/>
      <c r="N910" s="1493"/>
    </row>
    <row r="911" spans="2:14" x14ac:dyDescent="0.2">
      <c r="B911" s="1593"/>
      <c r="C911" s="1592"/>
      <c r="J911" s="1598"/>
      <c r="N911" s="1493"/>
    </row>
    <row r="912" spans="2:14" x14ac:dyDescent="0.2">
      <c r="B912" s="1593"/>
      <c r="C912" s="1592"/>
      <c r="J912" s="1598"/>
      <c r="N912" s="1493"/>
    </row>
    <row r="913" spans="2:14" x14ac:dyDescent="0.2">
      <c r="B913" s="1593"/>
      <c r="C913" s="1592"/>
      <c r="J913" s="1598"/>
      <c r="N913" s="1493"/>
    </row>
    <row r="914" spans="2:14" x14ac:dyDescent="0.2">
      <c r="B914" s="1593"/>
      <c r="C914" s="1592"/>
      <c r="J914" s="1598"/>
      <c r="N914" s="1493"/>
    </row>
    <row r="915" spans="2:14" x14ac:dyDescent="0.2">
      <c r="B915" s="1593"/>
      <c r="C915" s="1592"/>
      <c r="J915" s="1598"/>
      <c r="N915" s="1493"/>
    </row>
    <row r="916" spans="2:14" x14ac:dyDescent="0.2">
      <c r="B916" s="1593"/>
      <c r="C916" s="1592"/>
      <c r="J916" s="1598"/>
      <c r="N916" s="1493"/>
    </row>
    <row r="917" spans="2:14" x14ac:dyDescent="0.2">
      <c r="B917" s="1593"/>
      <c r="C917" s="1592"/>
      <c r="J917" s="1598"/>
      <c r="N917" s="1493"/>
    </row>
    <row r="918" spans="2:14" x14ac:dyDescent="0.2">
      <c r="B918" s="1593"/>
      <c r="C918" s="1592"/>
      <c r="J918" s="1598"/>
      <c r="N918" s="1493"/>
    </row>
    <row r="919" spans="2:14" x14ac:dyDescent="0.2">
      <c r="B919" s="1593"/>
      <c r="C919" s="1592"/>
      <c r="J919" s="1598"/>
      <c r="N919" s="1493"/>
    </row>
    <row r="920" spans="2:14" x14ac:dyDescent="0.2">
      <c r="B920" s="1593"/>
      <c r="C920" s="1592"/>
      <c r="J920" s="1598"/>
      <c r="N920" s="1493"/>
    </row>
    <row r="921" spans="2:14" x14ac:dyDescent="0.2">
      <c r="B921" s="1593"/>
      <c r="C921" s="1592"/>
      <c r="J921" s="1598"/>
      <c r="N921" s="1493"/>
    </row>
    <row r="922" spans="2:14" x14ac:dyDescent="0.2">
      <c r="B922" s="1593"/>
      <c r="C922" s="1592"/>
      <c r="J922" s="1598"/>
      <c r="N922" s="1493"/>
    </row>
    <row r="923" spans="2:14" x14ac:dyDescent="0.2">
      <c r="B923" s="1593"/>
      <c r="C923" s="1592"/>
      <c r="J923" s="1598"/>
      <c r="N923" s="1493"/>
    </row>
    <row r="924" spans="2:14" x14ac:dyDescent="0.2">
      <c r="B924" s="1593"/>
      <c r="C924" s="1592"/>
      <c r="J924" s="1598"/>
      <c r="N924" s="1493"/>
    </row>
    <row r="925" spans="2:14" x14ac:dyDescent="0.2">
      <c r="B925" s="1593"/>
      <c r="C925" s="1592"/>
      <c r="J925" s="1598"/>
      <c r="N925" s="1493"/>
    </row>
    <row r="926" spans="2:14" x14ac:dyDescent="0.2">
      <c r="B926" s="1593"/>
      <c r="C926" s="1592"/>
      <c r="J926" s="1598"/>
      <c r="N926" s="1493"/>
    </row>
    <row r="927" spans="2:14" x14ac:dyDescent="0.2">
      <c r="B927" s="1593"/>
      <c r="C927" s="1592"/>
      <c r="J927" s="1598"/>
      <c r="N927" s="1493"/>
    </row>
    <row r="928" spans="2:14" x14ac:dyDescent="0.2">
      <c r="B928" s="1593"/>
      <c r="C928" s="1592"/>
      <c r="J928" s="1598"/>
      <c r="N928" s="1493"/>
    </row>
    <row r="929" spans="2:14" x14ac:dyDescent="0.2">
      <c r="B929" s="1593"/>
      <c r="C929" s="1592"/>
      <c r="J929" s="1598"/>
      <c r="N929" s="1493"/>
    </row>
    <row r="930" spans="2:14" x14ac:dyDescent="0.2">
      <c r="B930" s="1593"/>
      <c r="C930" s="1592"/>
      <c r="J930" s="1598"/>
      <c r="N930" s="1493"/>
    </row>
    <row r="931" spans="2:14" x14ac:dyDescent="0.2">
      <c r="B931" s="1593"/>
      <c r="C931" s="1592"/>
      <c r="J931" s="1598"/>
      <c r="N931" s="1493"/>
    </row>
    <row r="932" spans="2:14" x14ac:dyDescent="0.2">
      <c r="B932" s="1593"/>
      <c r="C932" s="1592"/>
      <c r="J932" s="1598"/>
      <c r="N932" s="1493"/>
    </row>
    <row r="933" spans="2:14" x14ac:dyDescent="0.2">
      <c r="B933" s="1593"/>
      <c r="C933" s="1592"/>
      <c r="J933" s="1598"/>
      <c r="N933" s="1493"/>
    </row>
    <row r="934" spans="2:14" x14ac:dyDescent="0.2">
      <c r="B934" s="1593"/>
      <c r="C934" s="1592"/>
      <c r="J934" s="1598"/>
      <c r="N934" s="1493"/>
    </row>
    <row r="935" spans="2:14" x14ac:dyDescent="0.2">
      <c r="B935" s="1593"/>
      <c r="C935" s="1592"/>
      <c r="J935" s="1598"/>
      <c r="N935" s="1493"/>
    </row>
    <row r="936" spans="2:14" x14ac:dyDescent="0.2">
      <c r="B936" s="1593"/>
      <c r="C936" s="1592"/>
      <c r="J936" s="1598"/>
      <c r="N936" s="1493"/>
    </row>
    <row r="937" spans="2:14" x14ac:dyDescent="0.2">
      <c r="B937" s="1593"/>
      <c r="C937" s="1592"/>
      <c r="J937" s="1598"/>
      <c r="N937" s="1493"/>
    </row>
    <row r="938" spans="2:14" x14ac:dyDescent="0.2">
      <c r="B938" s="1593"/>
      <c r="C938" s="1592"/>
      <c r="J938" s="1598"/>
      <c r="N938" s="1493"/>
    </row>
    <row r="939" spans="2:14" x14ac:dyDescent="0.2">
      <c r="B939" s="1593"/>
      <c r="C939" s="1592"/>
      <c r="J939" s="1598"/>
      <c r="N939" s="1493"/>
    </row>
    <row r="940" spans="2:14" x14ac:dyDescent="0.2">
      <c r="B940" s="1593"/>
      <c r="C940" s="1592"/>
      <c r="J940" s="1598"/>
      <c r="N940" s="1493"/>
    </row>
    <row r="941" spans="2:14" x14ac:dyDescent="0.2">
      <c r="B941" s="1593"/>
      <c r="C941" s="1592"/>
      <c r="J941" s="1598"/>
      <c r="N941" s="1493"/>
    </row>
    <row r="942" spans="2:14" x14ac:dyDescent="0.2">
      <c r="B942" s="1593"/>
      <c r="C942" s="1592"/>
      <c r="J942" s="1598"/>
      <c r="N942" s="1493"/>
    </row>
    <row r="943" spans="2:14" x14ac:dyDescent="0.2">
      <c r="B943" s="1593"/>
      <c r="C943" s="1592"/>
      <c r="J943" s="1598"/>
      <c r="N943" s="1493"/>
    </row>
    <row r="944" spans="2:14" x14ac:dyDescent="0.2">
      <c r="B944" s="1593"/>
      <c r="C944" s="1592"/>
      <c r="J944" s="1598"/>
      <c r="N944" s="1493"/>
    </row>
    <row r="945" spans="2:14" x14ac:dyDescent="0.2">
      <c r="B945" s="1593"/>
      <c r="C945" s="1592"/>
      <c r="J945" s="1598"/>
      <c r="N945" s="1493"/>
    </row>
    <row r="946" spans="2:14" x14ac:dyDescent="0.2">
      <c r="B946" s="1593"/>
      <c r="C946" s="1592"/>
      <c r="J946" s="1598"/>
      <c r="N946" s="1493"/>
    </row>
    <row r="947" spans="2:14" x14ac:dyDescent="0.2">
      <c r="B947" s="1593"/>
      <c r="C947" s="1592"/>
      <c r="J947" s="1598"/>
      <c r="N947" s="1493"/>
    </row>
    <row r="948" spans="2:14" x14ac:dyDescent="0.2">
      <c r="B948" s="1593"/>
      <c r="C948" s="1592"/>
      <c r="J948" s="1598"/>
      <c r="N948" s="1493"/>
    </row>
    <row r="949" spans="2:14" x14ac:dyDescent="0.2">
      <c r="B949" s="1593"/>
      <c r="C949" s="1592"/>
      <c r="J949" s="1598"/>
      <c r="N949" s="1493"/>
    </row>
    <row r="950" spans="2:14" x14ac:dyDescent="0.2">
      <c r="B950" s="1593"/>
      <c r="C950" s="1592"/>
      <c r="J950" s="1598"/>
      <c r="N950" s="1493"/>
    </row>
    <row r="951" spans="2:14" x14ac:dyDescent="0.2">
      <c r="B951" s="1593"/>
      <c r="C951" s="1592"/>
      <c r="J951" s="1598"/>
      <c r="N951" s="1493"/>
    </row>
    <row r="952" spans="2:14" x14ac:dyDescent="0.2">
      <c r="B952" s="1593"/>
      <c r="C952" s="1592"/>
      <c r="J952" s="1598"/>
      <c r="N952" s="1493"/>
    </row>
    <row r="953" spans="2:14" x14ac:dyDescent="0.2">
      <c r="B953" s="1593"/>
      <c r="C953" s="1592"/>
      <c r="J953" s="1598"/>
      <c r="N953" s="1493"/>
    </row>
    <row r="954" spans="2:14" x14ac:dyDescent="0.2">
      <c r="B954" s="1593"/>
      <c r="C954" s="1592"/>
      <c r="J954" s="1598"/>
      <c r="N954" s="1493"/>
    </row>
    <row r="955" spans="2:14" x14ac:dyDescent="0.2">
      <c r="B955" s="1593"/>
      <c r="C955" s="1592"/>
      <c r="J955" s="1598"/>
      <c r="N955" s="1493"/>
    </row>
    <row r="956" spans="2:14" x14ac:dyDescent="0.2">
      <c r="B956" s="1593"/>
      <c r="C956" s="1592"/>
      <c r="J956" s="1598"/>
      <c r="N956" s="1493"/>
    </row>
    <row r="957" spans="2:14" x14ac:dyDescent="0.2">
      <c r="B957" s="1593"/>
      <c r="C957" s="1592"/>
      <c r="J957" s="1598"/>
      <c r="N957" s="1493"/>
    </row>
    <row r="958" spans="2:14" x14ac:dyDescent="0.2">
      <c r="B958" s="1593"/>
      <c r="C958" s="1592"/>
      <c r="J958" s="1598"/>
      <c r="N958" s="1493"/>
    </row>
    <row r="959" spans="2:14" x14ac:dyDescent="0.2">
      <c r="B959" s="1593"/>
      <c r="C959" s="1592"/>
      <c r="J959" s="1598"/>
      <c r="N959" s="1493"/>
    </row>
    <row r="960" spans="2:14" x14ac:dyDescent="0.2">
      <c r="B960" s="1593"/>
      <c r="C960" s="1592"/>
      <c r="J960" s="1598"/>
      <c r="N960" s="1493"/>
    </row>
    <row r="961" spans="2:14" x14ac:dyDescent="0.2">
      <c r="B961" s="1593"/>
      <c r="C961" s="1592"/>
      <c r="J961" s="1598"/>
      <c r="N961" s="1493"/>
    </row>
    <row r="962" spans="2:14" x14ac:dyDescent="0.2">
      <c r="B962" s="1593"/>
      <c r="C962" s="1592"/>
      <c r="J962" s="1598"/>
      <c r="N962" s="1493"/>
    </row>
    <row r="963" spans="2:14" x14ac:dyDescent="0.2">
      <c r="B963" s="1593"/>
      <c r="C963" s="1592"/>
      <c r="J963" s="1598"/>
      <c r="N963" s="1493"/>
    </row>
    <row r="964" spans="2:14" x14ac:dyDescent="0.2">
      <c r="B964" s="1593"/>
      <c r="C964" s="1592"/>
      <c r="J964" s="1598"/>
      <c r="N964" s="1493"/>
    </row>
    <row r="965" spans="2:14" x14ac:dyDescent="0.2">
      <c r="B965" s="1593"/>
      <c r="C965" s="1592"/>
      <c r="J965" s="1598"/>
      <c r="N965" s="1493"/>
    </row>
    <row r="966" spans="2:14" x14ac:dyDescent="0.2">
      <c r="B966" s="1593"/>
      <c r="C966" s="1592"/>
      <c r="J966" s="1598"/>
      <c r="N966" s="1493"/>
    </row>
    <row r="967" spans="2:14" x14ac:dyDescent="0.2">
      <c r="B967" s="1593"/>
      <c r="C967" s="1592"/>
      <c r="J967" s="1598"/>
      <c r="N967" s="1493"/>
    </row>
    <row r="968" spans="2:14" x14ac:dyDescent="0.2">
      <c r="B968" s="1593"/>
      <c r="C968" s="1592"/>
      <c r="J968" s="1598"/>
      <c r="N968" s="1493"/>
    </row>
    <row r="969" spans="2:14" x14ac:dyDescent="0.2">
      <c r="B969" s="1593"/>
      <c r="C969" s="1592"/>
      <c r="J969" s="1598"/>
      <c r="N969" s="1493"/>
    </row>
    <row r="970" spans="2:14" x14ac:dyDescent="0.2">
      <c r="B970" s="1593"/>
      <c r="C970" s="1592"/>
      <c r="J970" s="1598"/>
      <c r="N970" s="1493"/>
    </row>
    <row r="971" spans="2:14" x14ac:dyDescent="0.2">
      <c r="B971" s="1593"/>
      <c r="C971" s="1592"/>
      <c r="J971" s="1598"/>
      <c r="N971" s="1493"/>
    </row>
    <row r="972" spans="2:14" x14ac:dyDescent="0.2">
      <c r="B972" s="1593"/>
      <c r="C972" s="1592"/>
      <c r="J972" s="1598"/>
      <c r="N972" s="1493"/>
    </row>
    <row r="973" spans="2:14" x14ac:dyDescent="0.2">
      <c r="B973" s="1593"/>
      <c r="C973" s="1592"/>
      <c r="J973" s="1598"/>
      <c r="N973" s="1493"/>
    </row>
    <row r="974" spans="2:14" x14ac:dyDescent="0.2">
      <c r="B974" s="1593"/>
      <c r="C974" s="1592"/>
      <c r="J974" s="1598"/>
      <c r="N974" s="1493"/>
    </row>
    <row r="975" spans="2:14" x14ac:dyDescent="0.2">
      <c r="B975" s="1593"/>
      <c r="C975" s="1592"/>
      <c r="J975" s="1598"/>
      <c r="N975" s="1493"/>
    </row>
    <row r="976" spans="2:14" x14ac:dyDescent="0.2">
      <c r="B976" s="1593"/>
      <c r="C976" s="1592"/>
      <c r="J976" s="1598"/>
      <c r="N976" s="1493"/>
    </row>
    <row r="977" spans="2:14" x14ac:dyDescent="0.2">
      <c r="B977" s="1593"/>
      <c r="C977" s="1592"/>
      <c r="J977" s="1598"/>
      <c r="N977" s="1493"/>
    </row>
    <row r="978" spans="2:14" x14ac:dyDescent="0.2">
      <c r="B978" s="1593"/>
      <c r="C978" s="1592"/>
      <c r="J978" s="1598"/>
      <c r="N978" s="1493"/>
    </row>
    <row r="979" spans="2:14" x14ac:dyDescent="0.2">
      <c r="B979" s="1593"/>
      <c r="C979" s="1592"/>
      <c r="J979" s="1598"/>
      <c r="N979" s="1493"/>
    </row>
    <row r="980" spans="2:14" x14ac:dyDescent="0.2">
      <c r="B980" s="1593"/>
      <c r="C980" s="1592"/>
      <c r="J980" s="1598"/>
      <c r="N980" s="1493"/>
    </row>
    <row r="981" spans="2:14" x14ac:dyDescent="0.2">
      <c r="B981" s="1593"/>
      <c r="C981" s="1592"/>
      <c r="J981" s="1598"/>
      <c r="N981" s="1493"/>
    </row>
    <row r="982" spans="2:14" x14ac:dyDescent="0.2">
      <c r="B982" s="1593"/>
      <c r="C982" s="1592"/>
      <c r="J982" s="1598"/>
      <c r="N982" s="1493"/>
    </row>
    <row r="983" spans="2:14" x14ac:dyDescent="0.2">
      <c r="B983" s="1593"/>
      <c r="C983" s="1592"/>
      <c r="J983" s="1598"/>
      <c r="N983" s="1493"/>
    </row>
    <row r="984" spans="2:14" x14ac:dyDescent="0.2">
      <c r="B984" s="1593"/>
      <c r="C984" s="1592"/>
      <c r="J984" s="1598"/>
      <c r="N984" s="1493"/>
    </row>
    <row r="985" spans="2:14" x14ac:dyDescent="0.2">
      <c r="B985" s="1593"/>
      <c r="C985" s="1592"/>
      <c r="J985" s="1598"/>
      <c r="N985" s="1493"/>
    </row>
    <row r="986" spans="2:14" x14ac:dyDescent="0.2">
      <c r="B986" s="1593"/>
      <c r="C986" s="1592"/>
      <c r="J986" s="1598"/>
      <c r="N986" s="1493"/>
    </row>
    <row r="987" spans="2:14" x14ac:dyDescent="0.2">
      <c r="B987" s="1593"/>
      <c r="C987" s="1592"/>
      <c r="J987" s="1598"/>
      <c r="N987" s="1493"/>
    </row>
    <row r="988" spans="2:14" x14ac:dyDescent="0.2">
      <c r="B988" s="1593"/>
      <c r="C988" s="1592"/>
      <c r="J988" s="1598"/>
      <c r="N988" s="1493"/>
    </row>
    <row r="989" spans="2:14" x14ac:dyDescent="0.2">
      <c r="B989" s="1593"/>
      <c r="C989" s="1592"/>
      <c r="J989" s="1598"/>
      <c r="N989" s="1493"/>
    </row>
    <row r="990" spans="2:14" x14ac:dyDescent="0.2">
      <c r="B990" s="1593"/>
      <c r="C990" s="1592"/>
      <c r="J990" s="1598"/>
      <c r="N990" s="1493"/>
    </row>
    <row r="991" spans="2:14" x14ac:dyDescent="0.2">
      <c r="B991" s="1593"/>
      <c r="C991" s="1592"/>
      <c r="J991" s="1598"/>
      <c r="N991" s="1493"/>
    </row>
    <row r="992" spans="2:14" x14ac:dyDescent="0.2">
      <c r="B992" s="1593"/>
      <c r="C992" s="1592"/>
      <c r="J992" s="1598"/>
      <c r="N992" s="1493"/>
    </row>
    <row r="993" spans="2:14" x14ac:dyDescent="0.2">
      <c r="B993" s="1593"/>
      <c r="C993" s="1592"/>
      <c r="J993" s="1598"/>
      <c r="N993" s="1493"/>
    </row>
    <row r="994" spans="2:14" x14ac:dyDescent="0.2">
      <c r="B994" s="1593"/>
      <c r="C994" s="1592"/>
      <c r="J994" s="1598"/>
      <c r="N994" s="1493"/>
    </row>
    <row r="995" spans="2:14" x14ac:dyDescent="0.2">
      <c r="B995" s="1593"/>
      <c r="C995" s="1592"/>
      <c r="J995" s="1598"/>
      <c r="N995" s="1493"/>
    </row>
    <row r="996" spans="2:14" x14ac:dyDescent="0.2">
      <c r="B996" s="1593"/>
      <c r="C996" s="1592"/>
      <c r="J996" s="1598"/>
      <c r="N996" s="1493"/>
    </row>
    <row r="997" spans="2:14" x14ac:dyDescent="0.2">
      <c r="B997" s="1593"/>
      <c r="C997" s="1592"/>
      <c r="J997" s="1598"/>
      <c r="N997" s="1493"/>
    </row>
    <row r="998" spans="2:14" x14ac:dyDescent="0.2">
      <c r="B998" s="1593"/>
      <c r="C998" s="1592"/>
      <c r="J998" s="1598"/>
      <c r="N998" s="1493"/>
    </row>
    <row r="999" spans="2:14" x14ac:dyDescent="0.2">
      <c r="B999" s="1593"/>
      <c r="C999" s="1592"/>
      <c r="J999" s="1598"/>
      <c r="N999" s="1493"/>
    </row>
    <row r="1000" spans="2:14" x14ac:dyDescent="0.2">
      <c r="B1000" s="1593"/>
      <c r="C1000" s="1592"/>
      <c r="J1000" s="1598"/>
      <c r="N1000" s="1493"/>
    </row>
    <row r="1001" spans="2:14" x14ac:dyDescent="0.2">
      <c r="B1001" s="1593"/>
      <c r="C1001" s="1592"/>
      <c r="J1001" s="1598"/>
      <c r="N1001" s="1493"/>
    </row>
    <row r="1002" spans="2:14" x14ac:dyDescent="0.2">
      <c r="B1002" s="1593"/>
      <c r="C1002" s="1592"/>
      <c r="J1002" s="1598"/>
      <c r="N1002" s="1493"/>
    </row>
    <row r="1003" spans="2:14" x14ac:dyDescent="0.2">
      <c r="B1003" s="1593"/>
      <c r="C1003" s="1592"/>
      <c r="J1003" s="1598"/>
      <c r="N1003" s="1493"/>
    </row>
    <row r="1004" spans="2:14" x14ac:dyDescent="0.2">
      <c r="B1004" s="1593"/>
      <c r="C1004" s="1592"/>
      <c r="J1004" s="1598"/>
      <c r="N1004" s="1493"/>
    </row>
    <row r="1005" spans="2:14" x14ac:dyDescent="0.2">
      <c r="B1005" s="1593"/>
      <c r="C1005" s="1592"/>
      <c r="J1005" s="1598"/>
      <c r="N1005" s="1493"/>
    </row>
    <row r="1006" spans="2:14" x14ac:dyDescent="0.2">
      <c r="B1006" s="1593"/>
      <c r="C1006" s="1592"/>
      <c r="J1006" s="1598"/>
      <c r="N1006" s="1493"/>
    </row>
    <row r="1007" spans="2:14" x14ac:dyDescent="0.2">
      <c r="B1007" s="1593"/>
      <c r="C1007" s="1592"/>
      <c r="J1007" s="1598"/>
      <c r="N1007" s="1493"/>
    </row>
    <row r="1008" spans="2:14" x14ac:dyDescent="0.2">
      <c r="B1008" s="1593"/>
      <c r="C1008" s="1592"/>
      <c r="J1008" s="1598"/>
      <c r="N1008" s="1493"/>
    </row>
    <row r="1009" spans="2:14" x14ac:dyDescent="0.2">
      <c r="B1009" s="1593"/>
      <c r="C1009" s="1592"/>
      <c r="J1009" s="1598"/>
      <c r="N1009" s="1493"/>
    </row>
    <row r="1010" spans="2:14" x14ac:dyDescent="0.2">
      <c r="B1010" s="1593"/>
      <c r="C1010" s="1592"/>
      <c r="J1010" s="1598"/>
      <c r="N1010" s="1493"/>
    </row>
    <row r="1011" spans="2:14" x14ac:dyDescent="0.2">
      <c r="B1011" s="1593"/>
      <c r="C1011" s="1592"/>
      <c r="J1011" s="1598"/>
      <c r="N1011" s="1493"/>
    </row>
    <row r="1012" spans="2:14" x14ac:dyDescent="0.2">
      <c r="B1012" s="1593"/>
      <c r="C1012" s="1592"/>
      <c r="J1012" s="1598"/>
      <c r="N1012" s="1493"/>
    </row>
    <row r="1013" spans="2:14" x14ac:dyDescent="0.2">
      <c r="B1013" s="1593"/>
      <c r="C1013" s="1592"/>
      <c r="J1013" s="1598"/>
      <c r="N1013" s="1493"/>
    </row>
    <row r="1014" spans="2:14" x14ac:dyDescent="0.2">
      <c r="B1014" s="1593"/>
      <c r="C1014" s="1592"/>
      <c r="J1014" s="1598"/>
      <c r="N1014" s="1493"/>
    </row>
    <row r="1015" spans="2:14" x14ac:dyDescent="0.2">
      <c r="B1015" s="1593"/>
      <c r="C1015" s="1592"/>
      <c r="J1015" s="1598"/>
      <c r="N1015" s="1493"/>
    </row>
    <row r="1016" spans="2:14" x14ac:dyDescent="0.2">
      <c r="B1016" s="1593"/>
      <c r="C1016" s="1592"/>
      <c r="J1016" s="1598"/>
      <c r="N1016" s="1493"/>
    </row>
    <row r="1017" spans="2:14" x14ac:dyDescent="0.2">
      <c r="B1017" s="1593"/>
      <c r="C1017" s="1592"/>
      <c r="J1017" s="1598"/>
      <c r="N1017" s="1493"/>
    </row>
    <row r="1018" spans="2:14" x14ac:dyDescent="0.2">
      <c r="B1018" s="1593"/>
      <c r="C1018" s="1592"/>
      <c r="J1018" s="1598"/>
      <c r="N1018" s="1493"/>
    </row>
    <row r="1019" spans="2:14" x14ac:dyDescent="0.2">
      <c r="B1019" s="1593"/>
      <c r="C1019" s="1592"/>
      <c r="J1019" s="1598"/>
      <c r="N1019" s="1493"/>
    </row>
    <row r="1020" spans="2:14" x14ac:dyDescent="0.2">
      <c r="B1020" s="1593"/>
      <c r="C1020" s="1592"/>
      <c r="J1020" s="1598"/>
      <c r="N1020" s="1493"/>
    </row>
    <row r="1021" spans="2:14" x14ac:dyDescent="0.2">
      <c r="B1021" s="1593"/>
      <c r="C1021" s="1592"/>
      <c r="J1021" s="1598"/>
      <c r="N1021" s="1493"/>
    </row>
    <row r="1022" spans="2:14" x14ac:dyDescent="0.2">
      <c r="B1022" s="1593"/>
      <c r="C1022" s="1592"/>
      <c r="J1022" s="1598"/>
      <c r="N1022" s="1493"/>
    </row>
    <row r="1023" spans="2:14" x14ac:dyDescent="0.2">
      <c r="B1023" s="1593"/>
      <c r="C1023" s="1592"/>
      <c r="J1023" s="1598"/>
      <c r="N1023" s="1493"/>
    </row>
    <row r="1024" spans="2:14" x14ac:dyDescent="0.2">
      <c r="B1024" s="1593"/>
      <c r="C1024" s="1592"/>
      <c r="J1024" s="1598"/>
      <c r="N1024" s="1493"/>
    </row>
    <row r="1025" spans="2:14" x14ac:dyDescent="0.2">
      <c r="B1025" s="1593"/>
      <c r="C1025" s="1592"/>
      <c r="J1025" s="1598"/>
      <c r="N1025" s="1493"/>
    </row>
    <row r="1026" spans="2:14" x14ac:dyDescent="0.2">
      <c r="B1026" s="1593"/>
      <c r="C1026" s="1592"/>
      <c r="J1026" s="1598"/>
      <c r="N1026" s="1493"/>
    </row>
    <row r="1027" spans="2:14" x14ac:dyDescent="0.2">
      <c r="B1027" s="1593"/>
      <c r="C1027" s="1592"/>
      <c r="J1027" s="1598"/>
      <c r="N1027" s="1493"/>
    </row>
    <row r="1028" spans="2:14" x14ac:dyDescent="0.2">
      <c r="B1028" s="1593"/>
      <c r="C1028" s="1592"/>
      <c r="J1028" s="1598"/>
      <c r="N1028" s="1493"/>
    </row>
    <row r="1029" spans="2:14" x14ac:dyDescent="0.2">
      <c r="B1029" s="1593"/>
      <c r="C1029" s="1592"/>
      <c r="J1029" s="1598"/>
      <c r="N1029" s="1493"/>
    </row>
    <row r="1030" spans="2:14" x14ac:dyDescent="0.2">
      <c r="B1030" s="1593"/>
      <c r="C1030" s="1592"/>
      <c r="J1030" s="1598"/>
      <c r="N1030" s="1493"/>
    </row>
    <row r="1031" spans="2:14" x14ac:dyDescent="0.2">
      <c r="B1031" s="1593"/>
      <c r="C1031" s="1592"/>
      <c r="J1031" s="1598"/>
      <c r="N1031" s="1493"/>
    </row>
    <row r="1032" spans="2:14" x14ac:dyDescent="0.2">
      <c r="B1032" s="1593"/>
      <c r="C1032" s="1592"/>
      <c r="J1032" s="1598"/>
      <c r="N1032" s="1493"/>
    </row>
    <row r="1033" spans="2:14" x14ac:dyDescent="0.2">
      <c r="B1033" s="1593"/>
      <c r="C1033" s="1592"/>
      <c r="J1033" s="1598"/>
      <c r="N1033" s="1493"/>
    </row>
    <row r="1034" spans="2:14" x14ac:dyDescent="0.2">
      <c r="B1034" s="1593"/>
      <c r="C1034" s="1592"/>
      <c r="J1034" s="1598"/>
      <c r="N1034" s="1493"/>
    </row>
    <row r="1035" spans="2:14" x14ac:dyDescent="0.2">
      <c r="B1035" s="1593"/>
      <c r="C1035" s="1592"/>
      <c r="J1035" s="1598"/>
      <c r="N1035" s="1493"/>
    </row>
    <row r="1036" spans="2:14" x14ac:dyDescent="0.2">
      <c r="B1036" s="1593"/>
      <c r="C1036" s="1592"/>
      <c r="J1036" s="1598"/>
      <c r="N1036" s="1493"/>
    </row>
    <row r="1037" spans="2:14" x14ac:dyDescent="0.2">
      <c r="B1037" s="1593"/>
      <c r="C1037" s="1592"/>
      <c r="J1037" s="1598"/>
      <c r="N1037" s="1493"/>
    </row>
    <row r="1038" spans="2:14" x14ac:dyDescent="0.2">
      <c r="B1038" s="1593"/>
      <c r="C1038" s="1592"/>
      <c r="J1038" s="1598"/>
      <c r="N1038" s="1493"/>
    </row>
    <row r="1039" spans="2:14" x14ac:dyDescent="0.2">
      <c r="B1039" s="1593"/>
      <c r="C1039" s="1592"/>
      <c r="J1039" s="1598"/>
      <c r="N1039" s="1493"/>
    </row>
    <row r="1040" spans="2:14" x14ac:dyDescent="0.2">
      <c r="B1040" s="1593"/>
      <c r="C1040" s="1592"/>
      <c r="J1040" s="1598"/>
      <c r="N1040" s="1493"/>
    </row>
    <row r="1041" spans="2:14" x14ac:dyDescent="0.2">
      <c r="B1041" s="1593"/>
      <c r="C1041" s="1592"/>
      <c r="J1041" s="1598"/>
      <c r="N1041" s="1493"/>
    </row>
    <row r="1042" spans="2:14" x14ac:dyDescent="0.2">
      <c r="B1042" s="1593"/>
      <c r="C1042" s="1592"/>
      <c r="J1042" s="1598"/>
      <c r="N1042" s="1493"/>
    </row>
    <row r="1043" spans="2:14" x14ac:dyDescent="0.2">
      <c r="B1043" s="1593"/>
      <c r="C1043" s="1592"/>
      <c r="J1043" s="1598"/>
      <c r="N1043" s="1493"/>
    </row>
    <row r="1044" spans="2:14" x14ac:dyDescent="0.2">
      <c r="B1044" s="1593"/>
      <c r="C1044" s="1592"/>
      <c r="J1044" s="1598"/>
      <c r="N1044" s="1493"/>
    </row>
    <row r="1045" spans="2:14" x14ac:dyDescent="0.2">
      <c r="B1045" s="1593"/>
      <c r="C1045" s="1592"/>
      <c r="J1045" s="1598"/>
      <c r="N1045" s="1493"/>
    </row>
    <row r="1046" spans="2:14" x14ac:dyDescent="0.2">
      <c r="B1046" s="1593"/>
      <c r="C1046" s="1592"/>
      <c r="J1046" s="1598"/>
      <c r="N1046" s="1493"/>
    </row>
    <row r="1047" spans="2:14" x14ac:dyDescent="0.2">
      <c r="B1047" s="1593"/>
      <c r="C1047" s="1592"/>
      <c r="J1047" s="1598"/>
      <c r="N1047" s="1493"/>
    </row>
    <row r="1048" spans="2:14" x14ac:dyDescent="0.2">
      <c r="B1048" s="1593"/>
      <c r="C1048" s="1592"/>
      <c r="J1048" s="1598"/>
      <c r="N1048" s="1493"/>
    </row>
    <row r="1049" spans="2:14" x14ac:dyDescent="0.2">
      <c r="B1049" s="1593"/>
      <c r="C1049" s="1592"/>
      <c r="J1049" s="1598"/>
      <c r="N1049" s="1493"/>
    </row>
    <row r="1050" spans="2:14" x14ac:dyDescent="0.2">
      <c r="B1050" s="1593"/>
      <c r="C1050" s="1592"/>
      <c r="J1050" s="1598"/>
      <c r="N1050" s="1493"/>
    </row>
    <row r="1051" spans="2:14" x14ac:dyDescent="0.2">
      <c r="B1051" s="1593"/>
      <c r="C1051" s="1592"/>
      <c r="J1051" s="1598"/>
      <c r="N1051" s="1493"/>
    </row>
    <row r="1052" spans="2:14" x14ac:dyDescent="0.2">
      <c r="B1052" s="1593"/>
      <c r="C1052" s="1592"/>
      <c r="J1052" s="1598"/>
      <c r="N1052" s="1493"/>
    </row>
    <row r="1053" spans="2:14" x14ac:dyDescent="0.2">
      <c r="B1053" s="1593"/>
      <c r="C1053" s="1592"/>
      <c r="J1053" s="1598"/>
      <c r="N1053" s="1493"/>
    </row>
    <row r="1054" spans="2:14" x14ac:dyDescent="0.2">
      <c r="B1054" s="1593"/>
      <c r="C1054" s="1592"/>
      <c r="J1054" s="1598"/>
      <c r="N1054" s="1493"/>
    </row>
    <row r="1055" spans="2:14" x14ac:dyDescent="0.2">
      <c r="B1055" s="1593"/>
      <c r="C1055" s="1592"/>
      <c r="J1055" s="1598"/>
      <c r="N1055" s="1493"/>
    </row>
    <row r="1056" spans="2:14" x14ac:dyDescent="0.2">
      <c r="B1056" s="1593"/>
      <c r="C1056" s="1592"/>
      <c r="J1056" s="1598"/>
      <c r="N1056" s="1493"/>
    </row>
    <row r="1057" spans="2:14" x14ac:dyDescent="0.2">
      <c r="B1057" s="1593"/>
      <c r="C1057" s="1592"/>
      <c r="J1057" s="1598"/>
      <c r="N1057" s="1493"/>
    </row>
    <row r="1058" spans="2:14" x14ac:dyDescent="0.2">
      <c r="B1058" s="1593"/>
      <c r="C1058" s="1592"/>
      <c r="J1058" s="1598"/>
      <c r="N1058" s="1493"/>
    </row>
    <row r="1059" spans="2:14" x14ac:dyDescent="0.2">
      <c r="B1059" s="1593"/>
      <c r="C1059" s="1592"/>
      <c r="J1059" s="1598"/>
      <c r="N1059" s="1493"/>
    </row>
    <row r="1060" spans="2:14" x14ac:dyDescent="0.2">
      <c r="B1060" s="1593"/>
      <c r="C1060" s="1592"/>
      <c r="J1060" s="1598"/>
      <c r="N1060" s="1493"/>
    </row>
    <row r="1061" spans="2:14" x14ac:dyDescent="0.2">
      <c r="B1061" s="1593"/>
      <c r="C1061" s="1592"/>
      <c r="J1061" s="1598"/>
      <c r="N1061" s="1493"/>
    </row>
    <row r="1062" spans="2:14" x14ac:dyDescent="0.2">
      <c r="B1062" s="1593"/>
      <c r="C1062" s="1592"/>
      <c r="J1062" s="1598"/>
      <c r="N1062" s="1493"/>
    </row>
    <row r="1063" spans="2:14" x14ac:dyDescent="0.2">
      <c r="B1063" s="1593"/>
      <c r="C1063" s="1592"/>
      <c r="J1063" s="1598"/>
      <c r="N1063" s="1493"/>
    </row>
    <row r="1064" spans="2:14" x14ac:dyDescent="0.2">
      <c r="B1064" s="1593"/>
      <c r="C1064" s="1592"/>
      <c r="J1064" s="1598"/>
      <c r="N1064" s="1493"/>
    </row>
    <row r="1065" spans="2:14" x14ac:dyDescent="0.2">
      <c r="B1065" s="1593"/>
      <c r="C1065" s="1592"/>
      <c r="J1065" s="1598"/>
      <c r="N1065" s="1493"/>
    </row>
    <row r="1066" spans="2:14" x14ac:dyDescent="0.2">
      <c r="B1066" s="1593"/>
      <c r="C1066" s="1592"/>
      <c r="J1066" s="1598"/>
      <c r="N1066" s="1493"/>
    </row>
    <row r="1067" spans="2:14" x14ac:dyDescent="0.2">
      <c r="B1067" s="1593"/>
      <c r="C1067" s="1592"/>
      <c r="J1067" s="1598"/>
      <c r="N1067" s="1493"/>
    </row>
    <row r="1068" spans="2:14" x14ac:dyDescent="0.2">
      <c r="B1068" s="1593"/>
      <c r="C1068" s="1592"/>
      <c r="J1068" s="1598"/>
      <c r="N1068" s="1493"/>
    </row>
    <row r="1069" spans="2:14" x14ac:dyDescent="0.2">
      <c r="B1069" s="1593"/>
      <c r="C1069" s="1592"/>
      <c r="J1069" s="1598"/>
      <c r="N1069" s="1493"/>
    </row>
    <row r="1070" spans="2:14" x14ac:dyDescent="0.2">
      <c r="B1070" s="1593"/>
      <c r="C1070" s="1592"/>
      <c r="J1070" s="1598"/>
      <c r="N1070" s="1493"/>
    </row>
    <row r="1071" spans="2:14" x14ac:dyDescent="0.2">
      <c r="B1071" s="1593"/>
      <c r="C1071" s="1592"/>
      <c r="J1071" s="1598"/>
      <c r="N1071" s="1493"/>
    </row>
    <row r="1072" spans="2:14" x14ac:dyDescent="0.2">
      <c r="B1072" s="1593"/>
      <c r="C1072" s="1592"/>
      <c r="J1072" s="1598"/>
      <c r="N1072" s="1493"/>
    </row>
    <row r="1073" spans="2:14" x14ac:dyDescent="0.2">
      <c r="B1073" s="1593"/>
      <c r="C1073" s="1592"/>
      <c r="J1073" s="1598"/>
      <c r="N1073" s="1493"/>
    </row>
    <row r="1074" spans="2:14" x14ac:dyDescent="0.2">
      <c r="B1074" s="1593"/>
      <c r="C1074" s="1592"/>
      <c r="J1074" s="1598"/>
      <c r="N1074" s="1493"/>
    </row>
    <row r="1075" spans="2:14" x14ac:dyDescent="0.2">
      <c r="B1075" s="1593"/>
      <c r="C1075" s="1592"/>
      <c r="J1075" s="1598"/>
      <c r="N1075" s="1493"/>
    </row>
    <row r="1076" spans="2:14" x14ac:dyDescent="0.2">
      <c r="B1076" s="1593"/>
      <c r="C1076" s="1592"/>
      <c r="J1076" s="1598"/>
      <c r="N1076" s="1493"/>
    </row>
    <row r="1077" spans="2:14" x14ac:dyDescent="0.2">
      <c r="B1077" s="1593"/>
      <c r="C1077" s="1592"/>
      <c r="J1077" s="1598"/>
      <c r="N1077" s="1493"/>
    </row>
    <row r="1078" spans="2:14" x14ac:dyDescent="0.2">
      <c r="B1078" s="1593"/>
      <c r="C1078" s="1592"/>
      <c r="J1078" s="1598"/>
      <c r="N1078" s="1493"/>
    </row>
    <row r="1079" spans="2:14" x14ac:dyDescent="0.2">
      <c r="B1079" s="1593"/>
      <c r="C1079" s="1592"/>
      <c r="J1079" s="1598"/>
      <c r="N1079" s="1493"/>
    </row>
    <row r="1080" spans="2:14" x14ac:dyDescent="0.2">
      <c r="B1080" s="1593"/>
      <c r="C1080" s="1592"/>
      <c r="J1080" s="1598"/>
      <c r="N1080" s="1493"/>
    </row>
    <row r="1081" spans="2:14" x14ac:dyDescent="0.2">
      <c r="B1081" s="1593"/>
      <c r="C1081" s="1592"/>
      <c r="J1081" s="1598"/>
      <c r="N1081" s="1493"/>
    </row>
    <row r="1082" spans="2:14" x14ac:dyDescent="0.2">
      <c r="B1082" s="1593"/>
      <c r="C1082" s="1592"/>
      <c r="J1082" s="1598"/>
      <c r="N1082" s="1493"/>
    </row>
    <row r="1083" spans="2:14" x14ac:dyDescent="0.2">
      <c r="B1083" s="1593"/>
      <c r="C1083" s="1592"/>
      <c r="J1083" s="1598"/>
      <c r="N1083" s="1493"/>
    </row>
    <row r="1084" spans="2:14" x14ac:dyDescent="0.2">
      <c r="B1084" s="1593"/>
      <c r="C1084" s="1592"/>
      <c r="J1084" s="1598"/>
      <c r="N1084" s="1493"/>
    </row>
    <row r="1085" spans="2:14" x14ac:dyDescent="0.2">
      <c r="B1085" s="1593"/>
      <c r="C1085" s="1592"/>
      <c r="J1085" s="1598"/>
      <c r="N1085" s="1493"/>
    </row>
    <row r="1086" spans="2:14" x14ac:dyDescent="0.2">
      <c r="B1086" s="1593"/>
      <c r="C1086" s="1592"/>
      <c r="J1086" s="1598"/>
      <c r="N1086" s="1493"/>
    </row>
    <row r="1087" spans="2:14" x14ac:dyDescent="0.2">
      <c r="B1087" s="1593"/>
      <c r="C1087" s="1592"/>
      <c r="J1087" s="1598"/>
      <c r="N1087" s="1493"/>
    </row>
    <row r="1088" spans="2:14" x14ac:dyDescent="0.2">
      <c r="B1088" s="1593"/>
      <c r="C1088" s="1592"/>
      <c r="J1088" s="1598"/>
      <c r="N1088" s="1493"/>
    </row>
    <row r="1089" spans="2:14" x14ac:dyDescent="0.2">
      <c r="B1089" s="1593"/>
      <c r="C1089" s="1592"/>
      <c r="J1089" s="1598"/>
      <c r="N1089" s="1493"/>
    </row>
    <row r="1090" spans="2:14" x14ac:dyDescent="0.2">
      <c r="B1090" s="1593"/>
      <c r="C1090" s="1592"/>
      <c r="J1090" s="1598"/>
      <c r="N1090" s="1493"/>
    </row>
    <row r="1091" spans="2:14" x14ac:dyDescent="0.2">
      <c r="B1091" s="1593"/>
      <c r="C1091" s="1592"/>
      <c r="J1091" s="1598"/>
      <c r="N1091" s="1493"/>
    </row>
    <row r="1092" spans="2:14" x14ac:dyDescent="0.2">
      <c r="B1092" s="1593"/>
      <c r="C1092" s="1592"/>
      <c r="J1092" s="1598"/>
      <c r="N1092" s="1493"/>
    </row>
    <row r="1093" spans="2:14" x14ac:dyDescent="0.2">
      <c r="B1093" s="1593"/>
      <c r="C1093" s="1592"/>
      <c r="J1093" s="1598"/>
      <c r="N1093" s="1493"/>
    </row>
    <row r="1094" spans="2:14" x14ac:dyDescent="0.2">
      <c r="B1094" s="1593"/>
      <c r="C1094" s="1592"/>
      <c r="J1094" s="1598"/>
      <c r="N1094" s="1493"/>
    </row>
    <row r="1095" spans="2:14" x14ac:dyDescent="0.2">
      <c r="B1095" s="1593"/>
      <c r="C1095" s="1592"/>
      <c r="J1095" s="1598"/>
      <c r="N1095" s="1493"/>
    </row>
    <row r="1096" spans="2:14" x14ac:dyDescent="0.2">
      <c r="B1096" s="1593"/>
      <c r="C1096" s="1592"/>
      <c r="J1096" s="1598"/>
      <c r="N1096" s="1493"/>
    </row>
    <row r="1097" spans="2:14" x14ac:dyDescent="0.2">
      <c r="B1097" s="1593"/>
      <c r="C1097" s="1592"/>
      <c r="J1097" s="1598"/>
      <c r="N1097" s="1493"/>
    </row>
    <row r="1098" spans="2:14" x14ac:dyDescent="0.2">
      <c r="B1098" s="1593"/>
      <c r="C1098" s="1592"/>
      <c r="J1098" s="1598"/>
      <c r="N1098" s="1493"/>
    </row>
    <row r="1099" spans="2:14" x14ac:dyDescent="0.2">
      <c r="B1099" s="1593"/>
      <c r="C1099" s="1592"/>
      <c r="J1099" s="1598"/>
      <c r="N1099" s="1493"/>
    </row>
    <row r="1100" spans="2:14" x14ac:dyDescent="0.2">
      <c r="B1100" s="1593"/>
      <c r="C1100" s="1592"/>
      <c r="J1100" s="1598"/>
      <c r="N1100" s="1493"/>
    </row>
    <row r="1101" spans="2:14" x14ac:dyDescent="0.2">
      <c r="B1101" s="1593"/>
      <c r="C1101" s="1592"/>
      <c r="J1101" s="1598"/>
      <c r="N1101" s="1493"/>
    </row>
    <row r="1102" spans="2:14" x14ac:dyDescent="0.2">
      <c r="B1102" s="1593"/>
      <c r="C1102" s="1592"/>
      <c r="J1102" s="1598"/>
      <c r="N1102" s="1493"/>
    </row>
    <row r="1103" spans="2:14" x14ac:dyDescent="0.2">
      <c r="B1103" s="1593"/>
      <c r="C1103" s="1592"/>
      <c r="J1103" s="1598"/>
      <c r="N1103" s="1493"/>
    </row>
    <row r="1104" spans="2:14" x14ac:dyDescent="0.2">
      <c r="B1104" s="1593"/>
      <c r="C1104" s="1592"/>
      <c r="J1104" s="1598"/>
      <c r="N1104" s="1493"/>
    </row>
    <row r="1105" spans="2:14" x14ac:dyDescent="0.2">
      <c r="B1105" s="1593"/>
      <c r="C1105" s="1592"/>
      <c r="J1105" s="1598"/>
      <c r="N1105" s="1493"/>
    </row>
    <row r="1106" spans="2:14" x14ac:dyDescent="0.2">
      <c r="B1106" s="1593"/>
      <c r="C1106" s="1592"/>
      <c r="J1106" s="1598"/>
      <c r="N1106" s="1493"/>
    </row>
    <row r="1107" spans="2:14" x14ac:dyDescent="0.2">
      <c r="B1107" s="1593"/>
      <c r="C1107" s="1592"/>
      <c r="J1107" s="1598"/>
      <c r="N1107" s="1493"/>
    </row>
    <row r="1108" spans="2:14" x14ac:dyDescent="0.2">
      <c r="B1108" s="1593"/>
      <c r="C1108" s="1592"/>
      <c r="J1108" s="1598"/>
      <c r="N1108" s="1493"/>
    </row>
    <row r="1109" spans="2:14" x14ac:dyDescent="0.2">
      <c r="B1109" s="1593"/>
      <c r="C1109" s="1592"/>
      <c r="J1109" s="1598"/>
      <c r="N1109" s="1493"/>
    </row>
    <row r="1110" spans="2:14" x14ac:dyDescent="0.2">
      <c r="B1110" s="1593"/>
      <c r="C1110" s="1592"/>
      <c r="J1110" s="1598"/>
      <c r="N1110" s="1493"/>
    </row>
    <row r="1111" spans="2:14" x14ac:dyDescent="0.2">
      <c r="B1111" s="1593"/>
      <c r="C1111" s="1592"/>
      <c r="J1111" s="1598"/>
      <c r="N1111" s="1493"/>
    </row>
    <row r="1112" spans="2:14" x14ac:dyDescent="0.2">
      <c r="B1112" s="1593"/>
      <c r="C1112" s="1592"/>
      <c r="J1112" s="1598"/>
      <c r="N1112" s="1493"/>
    </row>
    <row r="1113" spans="2:14" x14ac:dyDescent="0.2">
      <c r="B1113" s="1593"/>
      <c r="C1113" s="1592"/>
      <c r="J1113" s="1598"/>
      <c r="N1113" s="1493"/>
    </row>
    <row r="1114" spans="2:14" x14ac:dyDescent="0.2">
      <c r="B1114" s="1593"/>
      <c r="C1114" s="1592"/>
      <c r="J1114" s="1598"/>
      <c r="N1114" s="1493"/>
    </row>
    <row r="1115" spans="2:14" x14ac:dyDescent="0.2">
      <c r="B1115" s="1593"/>
      <c r="C1115" s="1592"/>
      <c r="J1115" s="1598"/>
      <c r="N1115" s="1493"/>
    </row>
    <row r="1116" spans="2:14" x14ac:dyDescent="0.2">
      <c r="B1116" s="1593"/>
      <c r="C1116" s="1592"/>
      <c r="J1116" s="1598"/>
      <c r="N1116" s="1493"/>
    </row>
    <row r="1117" spans="2:14" x14ac:dyDescent="0.2">
      <c r="B1117" s="1593"/>
      <c r="C1117" s="1592"/>
      <c r="J1117" s="1598"/>
      <c r="N1117" s="1493"/>
    </row>
    <row r="1118" spans="2:14" x14ac:dyDescent="0.2">
      <c r="B1118" s="1593"/>
      <c r="C1118" s="1592"/>
      <c r="J1118" s="1598"/>
      <c r="N1118" s="1493"/>
    </row>
    <row r="1119" spans="2:14" x14ac:dyDescent="0.2">
      <c r="B1119" s="1593"/>
      <c r="C1119" s="1592"/>
      <c r="J1119" s="1598"/>
      <c r="N1119" s="1493"/>
    </row>
    <row r="1120" spans="2:14" x14ac:dyDescent="0.2">
      <c r="B1120" s="1593"/>
      <c r="C1120" s="1592"/>
      <c r="J1120" s="1598"/>
      <c r="N1120" s="1493"/>
    </row>
    <row r="1121" spans="2:14" x14ac:dyDescent="0.2">
      <c r="B1121" s="1593"/>
      <c r="C1121" s="1592"/>
      <c r="J1121" s="1598"/>
      <c r="N1121" s="1493"/>
    </row>
    <row r="1122" spans="2:14" x14ac:dyDescent="0.2">
      <c r="B1122" s="1593"/>
      <c r="C1122" s="1592"/>
      <c r="J1122" s="1598"/>
      <c r="N1122" s="1493"/>
    </row>
    <row r="1123" spans="2:14" x14ac:dyDescent="0.2">
      <c r="B1123" s="1593"/>
      <c r="C1123" s="1592"/>
      <c r="J1123" s="1598"/>
      <c r="N1123" s="1493"/>
    </row>
    <row r="1124" spans="2:14" x14ac:dyDescent="0.2">
      <c r="B1124" s="1593"/>
      <c r="C1124" s="1592"/>
      <c r="J1124" s="1598"/>
      <c r="N1124" s="1493"/>
    </row>
    <row r="1125" spans="2:14" x14ac:dyDescent="0.2">
      <c r="B1125" s="1593"/>
      <c r="C1125" s="1592"/>
      <c r="J1125" s="1598"/>
      <c r="N1125" s="1493"/>
    </row>
    <row r="1126" spans="2:14" x14ac:dyDescent="0.2">
      <c r="B1126" s="1593"/>
      <c r="C1126" s="1592"/>
      <c r="J1126" s="1598"/>
      <c r="N1126" s="1493"/>
    </row>
    <row r="1127" spans="2:14" x14ac:dyDescent="0.2">
      <c r="B1127" s="1593"/>
      <c r="C1127" s="1592"/>
      <c r="J1127" s="1598"/>
      <c r="N1127" s="1493"/>
    </row>
    <row r="1128" spans="2:14" x14ac:dyDescent="0.2">
      <c r="B1128" s="1593"/>
      <c r="C1128" s="1592"/>
      <c r="J1128" s="1598"/>
      <c r="N1128" s="1493"/>
    </row>
    <row r="1129" spans="2:14" x14ac:dyDescent="0.2">
      <c r="B1129" s="1593"/>
      <c r="C1129" s="1592"/>
      <c r="J1129" s="1598"/>
      <c r="N1129" s="1493"/>
    </row>
    <row r="1130" spans="2:14" x14ac:dyDescent="0.2">
      <c r="B1130" s="1593"/>
      <c r="C1130" s="1592"/>
      <c r="J1130" s="1598"/>
      <c r="N1130" s="1493"/>
    </row>
    <row r="1131" spans="2:14" x14ac:dyDescent="0.2">
      <c r="B1131" s="1593"/>
      <c r="C1131" s="1592"/>
      <c r="J1131" s="1598"/>
      <c r="N1131" s="1493"/>
    </row>
    <row r="1132" spans="2:14" x14ac:dyDescent="0.2">
      <c r="B1132" s="1593"/>
      <c r="C1132" s="1592"/>
      <c r="J1132" s="1598"/>
      <c r="N1132" s="1493"/>
    </row>
    <row r="1133" spans="2:14" x14ac:dyDescent="0.2">
      <c r="B1133" s="1593"/>
      <c r="C1133" s="1592"/>
      <c r="J1133" s="1598"/>
      <c r="N1133" s="1493"/>
    </row>
    <row r="1134" spans="2:14" x14ac:dyDescent="0.2">
      <c r="B1134" s="1593"/>
      <c r="C1134" s="1592"/>
      <c r="J1134" s="1598"/>
      <c r="N1134" s="1493"/>
    </row>
    <row r="1135" spans="2:14" x14ac:dyDescent="0.2">
      <c r="B1135" s="1593"/>
      <c r="C1135" s="1592"/>
      <c r="J1135" s="1598"/>
      <c r="N1135" s="1493"/>
    </row>
    <row r="1136" spans="2:14" x14ac:dyDescent="0.2">
      <c r="B1136" s="1593"/>
      <c r="C1136" s="1592"/>
      <c r="J1136" s="1598"/>
      <c r="N1136" s="1493"/>
    </row>
    <row r="1137" spans="2:14" x14ac:dyDescent="0.2">
      <c r="B1137" s="1593"/>
      <c r="C1137" s="1592"/>
      <c r="J1137" s="1598"/>
      <c r="N1137" s="1493"/>
    </row>
    <row r="1138" spans="2:14" x14ac:dyDescent="0.2">
      <c r="B1138" s="1593"/>
      <c r="C1138" s="1592"/>
      <c r="J1138" s="1598"/>
      <c r="N1138" s="1493"/>
    </row>
    <row r="1139" spans="2:14" x14ac:dyDescent="0.2">
      <c r="B1139" s="1593"/>
      <c r="C1139" s="1592"/>
      <c r="J1139" s="1598"/>
      <c r="N1139" s="1493"/>
    </row>
    <row r="1140" spans="2:14" x14ac:dyDescent="0.2">
      <c r="B1140" s="1593"/>
      <c r="C1140" s="1592"/>
      <c r="J1140" s="1598"/>
      <c r="N1140" s="1493"/>
    </row>
    <row r="1141" spans="2:14" x14ac:dyDescent="0.2">
      <c r="B1141" s="1593"/>
      <c r="C1141" s="1592"/>
      <c r="J1141" s="1598"/>
      <c r="N1141" s="1493"/>
    </row>
    <row r="1142" spans="2:14" x14ac:dyDescent="0.2">
      <c r="B1142" s="1593"/>
      <c r="C1142" s="1592"/>
      <c r="J1142" s="1598"/>
      <c r="N1142" s="1493"/>
    </row>
    <row r="1143" spans="2:14" x14ac:dyDescent="0.2">
      <c r="B1143" s="1593"/>
      <c r="C1143" s="1592"/>
      <c r="J1143" s="1598"/>
      <c r="N1143" s="1493"/>
    </row>
    <row r="1144" spans="2:14" x14ac:dyDescent="0.2">
      <c r="B1144" s="1593"/>
      <c r="C1144" s="1592"/>
      <c r="J1144" s="1598"/>
      <c r="N1144" s="1493"/>
    </row>
    <row r="1145" spans="2:14" x14ac:dyDescent="0.2">
      <c r="B1145" s="1593"/>
      <c r="C1145" s="1592"/>
      <c r="J1145" s="1598"/>
      <c r="N1145" s="1493"/>
    </row>
    <row r="1146" spans="2:14" x14ac:dyDescent="0.2">
      <c r="B1146" s="1593"/>
      <c r="C1146" s="1592"/>
      <c r="J1146" s="1598"/>
      <c r="N1146" s="1493"/>
    </row>
    <row r="1147" spans="2:14" x14ac:dyDescent="0.2">
      <c r="B1147" s="1593"/>
      <c r="C1147" s="1592"/>
      <c r="J1147" s="1598"/>
      <c r="N1147" s="1493"/>
    </row>
    <row r="1148" spans="2:14" x14ac:dyDescent="0.2">
      <c r="B1148" s="1593"/>
      <c r="C1148" s="1592"/>
      <c r="J1148" s="1598"/>
      <c r="N1148" s="1493"/>
    </row>
    <row r="1149" spans="2:14" x14ac:dyDescent="0.2">
      <c r="B1149" s="1593"/>
      <c r="C1149" s="1592"/>
      <c r="J1149" s="1598"/>
      <c r="N1149" s="1493"/>
    </row>
    <row r="1150" spans="2:14" x14ac:dyDescent="0.2">
      <c r="B1150" s="1593"/>
      <c r="C1150" s="1592"/>
      <c r="J1150" s="1598"/>
      <c r="N1150" s="1493"/>
    </row>
    <row r="1151" spans="2:14" x14ac:dyDescent="0.2">
      <c r="B1151" s="1593"/>
      <c r="C1151" s="1592"/>
      <c r="J1151" s="1598"/>
      <c r="N1151" s="1493"/>
    </row>
    <row r="1152" spans="2:14" x14ac:dyDescent="0.2">
      <c r="B1152" s="1593"/>
      <c r="C1152" s="1592"/>
      <c r="J1152" s="1598"/>
      <c r="N1152" s="1493"/>
    </row>
    <row r="1153" spans="2:14" x14ac:dyDescent="0.2">
      <c r="B1153" s="1593"/>
      <c r="C1153" s="1592"/>
      <c r="J1153" s="1598"/>
      <c r="N1153" s="1493"/>
    </row>
    <row r="1154" spans="2:14" x14ac:dyDescent="0.2">
      <c r="B1154" s="1593"/>
      <c r="C1154" s="1592"/>
      <c r="J1154" s="1598"/>
      <c r="N1154" s="1493"/>
    </row>
    <row r="1155" spans="2:14" x14ac:dyDescent="0.2">
      <c r="B1155" s="1593"/>
      <c r="C1155" s="1592"/>
      <c r="J1155" s="1598"/>
      <c r="N1155" s="1493"/>
    </row>
    <row r="1156" spans="2:14" x14ac:dyDescent="0.2">
      <c r="B1156" s="1593"/>
      <c r="C1156" s="1592"/>
      <c r="J1156" s="1598"/>
      <c r="N1156" s="1493"/>
    </row>
    <row r="1157" spans="2:14" x14ac:dyDescent="0.2">
      <c r="B1157" s="1593"/>
      <c r="C1157" s="1592"/>
      <c r="J1157" s="1598"/>
      <c r="N1157" s="1493"/>
    </row>
    <row r="1158" spans="2:14" x14ac:dyDescent="0.2">
      <c r="B1158" s="1593"/>
      <c r="C1158" s="1592"/>
      <c r="J1158" s="1598"/>
      <c r="N1158" s="1493"/>
    </row>
    <row r="1159" spans="2:14" x14ac:dyDescent="0.2">
      <c r="B1159" s="1593"/>
      <c r="C1159" s="1592"/>
      <c r="J1159" s="1598"/>
      <c r="N1159" s="1493"/>
    </row>
    <row r="1160" spans="2:14" x14ac:dyDescent="0.2">
      <c r="B1160" s="1593"/>
      <c r="C1160" s="1592"/>
      <c r="J1160" s="1598"/>
      <c r="N1160" s="1493"/>
    </row>
    <row r="1161" spans="2:14" x14ac:dyDescent="0.2">
      <c r="B1161" s="1593"/>
      <c r="C1161" s="1592"/>
      <c r="J1161" s="1598"/>
      <c r="N1161" s="1493"/>
    </row>
    <row r="1162" spans="2:14" x14ac:dyDescent="0.2">
      <c r="B1162" s="1593"/>
      <c r="C1162" s="1592"/>
      <c r="J1162" s="1598"/>
      <c r="N1162" s="1493"/>
    </row>
    <row r="1163" spans="2:14" x14ac:dyDescent="0.2">
      <c r="B1163" s="1593"/>
      <c r="C1163" s="1592"/>
      <c r="J1163" s="1598"/>
      <c r="N1163" s="1493"/>
    </row>
    <row r="1164" spans="2:14" x14ac:dyDescent="0.2">
      <c r="B1164" s="1593"/>
      <c r="C1164" s="1592"/>
      <c r="J1164" s="1598"/>
      <c r="N1164" s="1493"/>
    </row>
    <row r="1165" spans="2:14" x14ac:dyDescent="0.2">
      <c r="B1165" s="1593"/>
      <c r="C1165" s="1592"/>
      <c r="J1165" s="1598"/>
      <c r="N1165" s="1493"/>
    </row>
    <row r="1166" spans="2:14" x14ac:dyDescent="0.2">
      <c r="B1166" s="1593"/>
      <c r="C1166" s="1592"/>
      <c r="J1166" s="1598"/>
      <c r="N1166" s="1493"/>
    </row>
    <row r="1167" spans="2:14" x14ac:dyDescent="0.2">
      <c r="B1167" s="1593"/>
      <c r="C1167" s="1592"/>
      <c r="J1167" s="1598"/>
      <c r="N1167" s="1493"/>
    </row>
    <row r="1168" spans="2:14" x14ac:dyDescent="0.2">
      <c r="B1168" s="1593"/>
      <c r="C1168" s="1592"/>
      <c r="J1168" s="1598"/>
      <c r="N1168" s="1493"/>
    </row>
    <row r="1169" spans="2:14" x14ac:dyDescent="0.2">
      <c r="B1169" s="1593"/>
      <c r="C1169" s="1592"/>
      <c r="J1169" s="1598"/>
      <c r="N1169" s="1493"/>
    </row>
    <row r="1170" spans="2:14" x14ac:dyDescent="0.2">
      <c r="B1170" s="1593"/>
      <c r="C1170" s="1592"/>
      <c r="J1170" s="1598"/>
      <c r="N1170" s="1493"/>
    </row>
    <row r="1171" spans="2:14" x14ac:dyDescent="0.2">
      <c r="B1171" s="1593"/>
      <c r="C1171" s="1592"/>
      <c r="J1171" s="1598"/>
      <c r="N1171" s="1493"/>
    </row>
    <row r="1172" spans="2:14" x14ac:dyDescent="0.2">
      <c r="B1172" s="1593"/>
      <c r="C1172" s="1592"/>
      <c r="J1172" s="1598"/>
      <c r="N1172" s="1493"/>
    </row>
    <row r="1173" spans="2:14" x14ac:dyDescent="0.2">
      <c r="B1173" s="1593"/>
      <c r="C1173" s="1592"/>
      <c r="J1173" s="1598"/>
      <c r="N1173" s="1493"/>
    </row>
    <row r="1174" spans="2:14" x14ac:dyDescent="0.2">
      <c r="B1174" s="1593"/>
      <c r="C1174" s="1592"/>
      <c r="J1174" s="1598"/>
      <c r="N1174" s="1493"/>
    </row>
    <row r="1175" spans="2:14" x14ac:dyDescent="0.2">
      <c r="B1175" s="1593"/>
      <c r="C1175" s="1592"/>
      <c r="J1175" s="1598"/>
      <c r="N1175" s="1493"/>
    </row>
    <row r="1176" spans="2:14" x14ac:dyDescent="0.2">
      <c r="B1176" s="1593"/>
      <c r="C1176" s="1592"/>
      <c r="J1176" s="1598"/>
      <c r="N1176" s="1493"/>
    </row>
    <row r="1177" spans="2:14" x14ac:dyDescent="0.2">
      <c r="B1177" s="1593"/>
      <c r="C1177" s="1592"/>
      <c r="J1177" s="1598"/>
      <c r="N1177" s="1493"/>
    </row>
    <row r="1178" spans="2:14" x14ac:dyDescent="0.2">
      <c r="B1178" s="1593"/>
      <c r="C1178" s="1592"/>
      <c r="J1178" s="1598"/>
      <c r="N1178" s="1493"/>
    </row>
    <row r="1179" spans="2:14" x14ac:dyDescent="0.2">
      <c r="B1179" s="1593"/>
      <c r="C1179" s="1592"/>
      <c r="J1179" s="1598"/>
      <c r="N1179" s="1493"/>
    </row>
    <row r="1180" spans="2:14" x14ac:dyDescent="0.2">
      <c r="B1180" s="1593"/>
      <c r="C1180" s="1592"/>
      <c r="J1180" s="1598"/>
      <c r="N1180" s="1493"/>
    </row>
    <row r="1181" spans="2:14" x14ac:dyDescent="0.2">
      <c r="B1181" s="1593"/>
      <c r="C1181" s="1592"/>
      <c r="J1181" s="1598"/>
      <c r="N1181" s="1493"/>
    </row>
    <row r="1182" spans="2:14" x14ac:dyDescent="0.2">
      <c r="B1182" s="1593"/>
      <c r="C1182" s="1592"/>
      <c r="J1182" s="1598"/>
      <c r="N1182" s="1493"/>
    </row>
    <row r="1183" spans="2:14" x14ac:dyDescent="0.2">
      <c r="B1183" s="1593"/>
      <c r="C1183" s="1592"/>
      <c r="J1183" s="1598"/>
      <c r="N1183" s="1493"/>
    </row>
    <row r="1184" spans="2:14" x14ac:dyDescent="0.2">
      <c r="B1184" s="1593"/>
      <c r="C1184" s="1592"/>
      <c r="J1184" s="1598"/>
      <c r="N1184" s="1493"/>
    </row>
    <row r="1185" spans="2:14" x14ac:dyDescent="0.2">
      <c r="B1185" s="1593"/>
      <c r="C1185" s="1592"/>
      <c r="J1185" s="1598"/>
      <c r="N1185" s="1493"/>
    </row>
    <row r="1186" spans="2:14" x14ac:dyDescent="0.2">
      <c r="B1186" s="1593"/>
      <c r="C1186" s="1592"/>
      <c r="J1186" s="1598"/>
      <c r="N1186" s="1493"/>
    </row>
    <row r="1187" spans="2:14" x14ac:dyDescent="0.2">
      <c r="B1187" s="1593"/>
      <c r="C1187" s="1592"/>
      <c r="J1187" s="1598"/>
      <c r="N1187" s="1493"/>
    </row>
    <row r="1188" spans="2:14" x14ac:dyDescent="0.2">
      <c r="B1188" s="1593"/>
      <c r="C1188" s="1592"/>
      <c r="J1188" s="1598"/>
      <c r="N1188" s="1493"/>
    </row>
    <row r="1189" spans="2:14" x14ac:dyDescent="0.2">
      <c r="B1189" s="1593"/>
      <c r="C1189" s="1592"/>
      <c r="J1189" s="1598"/>
      <c r="N1189" s="1493"/>
    </row>
    <row r="1190" spans="2:14" x14ac:dyDescent="0.2">
      <c r="B1190" s="1593"/>
      <c r="C1190" s="1592"/>
      <c r="J1190" s="1598"/>
      <c r="N1190" s="1493"/>
    </row>
    <row r="1191" spans="2:14" x14ac:dyDescent="0.2">
      <c r="B1191" s="1593"/>
      <c r="C1191" s="1592"/>
      <c r="J1191" s="1598"/>
      <c r="N1191" s="1493"/>
    </row>
    <row r="1192" spans="2:14" x14ac:dyDescent="0.2">
      <c r="B1192" s="1593"/>
      <c r="C1192" s="1592"/>
      <c r="J1192" s="1598"/>
      <c r="N1192" s="1493"/>
    </row>
    <row r="1193" spans="2:14" x14ac:dyDescent="0.2">
      <c r="B1193" s="1593"/>
      <c r="C1193" s="1592"/>
      <c r="J1193" s="1598"/>
      <c r="N1193" s="1493"/>
    </row>
    <row r="1194" spans="2:14" x14ac:dyDescent="0.2">
      <c r="B1194" s="1593"/>
      <c r="C1194" s="1592"/>
      <c r="J1194" s="1598"/>
      <c r="N1194" s="1493"/>
    </row>
    <row r="1195" spans="2:14" x14ac:dyDescent="0.2">
      <c r="B1195" s="1593"/>
      <c r="C1195" s="1592"/>
      <c r="J1195" s="1598"/>
      <c r="N1195" s="1493"/>
    </row>
    <row r="1196" spans="2:14" x14ac:dyDescent="0.2">
      <c r="B1196" s="1593"/>
      <c r="C1196" s="1592"/>
      <c r="J1196" s="1598"/>
      <c r="N1196" s="1493"/>
    </row>
    <row r="1197" spans="2:14" x14ac:dyDescent="0.2">
      <c r="B1197" s="1593"/>
      <c r="C1197" s="1592"/>
      <c r="J1197" s="1598"/>
      <c r="N1197" s="1493"/>
    </row>
    <row r="1198" spans="2:14" x14ac:dyDescent="0.2">
      <c r="B1198" s="1593"/>
      <c r="C1198" s="1592"/>
      <c r="J1198" s="1598"/>
      <c r="N1198" s="1493"/>
    </row>
    <row r="1199" spans="2:14" x14ac:dyDescent="0.2">
      <c r="B1199" s="1593"/>
      <c r="C1199" s="1592"/>
      <c r="J1199" s="1598"/>
      <c r="N1199" s="1493"/>
    </row>
    <row r="1200" spans="2:14" x14ac:dyDescent="0.2">
      <c r="B1200" s="1593"/>
      <c r="C1200" s="1592"/>
      <c r="J1200" s="1598"/>
      <c r="N1200" s="1493"/>
    </row>
    <row r="1201" spans="2:14" x14ac:dyDescent="0.2">
      <c r="B1201" s="1593"/>
      <c r="C1201" s="1592"/>
      <c r="J1201" s="1598"/>
      <c r="N1201" s="1493"/>
    </row>
    <row r="1202" spans="2:14" x14ac:dyDescent="0.2">
      <c r="B1202" s="1593"/>
      <c r="C1202" s="1592"/>
      <c r="J1202" s="1598"/>
      <c r="N1202" s="1493"/>
    </row>
    <row r="1203" spans="2:14" x14ac:dyDescent="0.2">
      <c r="B1203" s="1593"/>
      <c r="C1203" s="1592"/>
      <c r="J1203" s="1598"/>
      <c r="N1203" s="1493"/>
    </row>
    <row r="1204" spans="2:14" x14ac:dyDescent="0.2">
      <c r="B1204" s="1593"/>
      <c r="C1204" s="1592"/>
      <c r="J1204" s="1598"/>
      <c r="N1204" s="1493"/>
    </row>
    <row r="1205" spans="2:14" x14ac:dyDescent="0.2">
      <c r="B1205" s="1593"/>
      <c r="C1205" s="1592"/>
      <c r="J1205" s="1598"/>
      <c r="N1205" s="1493"/>
    </row>
    <row r="1206" spans="2:14" x14ac:dyDescent="0.2">
      <c r="B1206" s="1593"/>
      <c r="C1206" s="1592"/>
      <c r="J1206" s="1598"/>
      <c r="N1206" s="1493"/>
    </row>
    <row r="1207" spans="2:14" x14ac:dyDescent="0.2">
      <c r="B1207" s="1593"/>
      <c r="C1207" s="1592"/>
      <c r="J1207" s="1598"/>
      <c r="N1207" s="1493"/>
    </row>
    <row r="1208" spans="2:14" x14ac:dyDescent="0.2">
      <c r="B1208" s="1593"/>
      <c r="C1208" s="1592"/>
      <c r="J1208" s="1598"/>
      <c r="N1208" s="1493"/>
    </row>
    <row r="1209" spans="2:14" x14ac:dyDescent="0.2">
      <c r="B1209" s="1593"/>
      <c r="C1209" s="1592"/>
      <c r="J1209" s="1598"/>
      <c r="N1209" s="1493"/>
    </row>
    <row r="1210" spans="2:14" x14ac:dyDescent="0.2">
      <c r="B1210" s="1593"/>
      <c r="C1210" s="1592"/>
      <c r="J1210" s="1598"/>
      <c r="N1210" s="1493"/>
    </row>
    <row r="1211" spans="2:14" x14ac:dyDescent="0.2">
      <c r="B1211" s="1593"/>
      <c r="C1211" s="1592"/>
      <c r="J1211" s="1598"/>
      <c r="N1211" s="1493"/>
    </row>
    <row r="1212" spans="2:14" x14ac:dyDescent="0.2">
      <c r="B1212" s="1593"/>
      <c r="C1212" s="1592"/>
      <c r="J1212" s="1598"/>
      <c r="N1212" s="1493"/>
    </row>
    <row r="1213" spans="2:14" x14ac:dyDescent="0.2">
      <c r="B1213" s="1593"/>
      <c r="C1213" s="1592"/>
      <c r="J1213" s="1598"/>
      <c r="N1213" s="1493"/>
    </row>
    <row r="1214" spans="2:14" x14ac:dyDescent="0.2">
      <c r="B1214" s="1593"/>
      <c r="C1214" s="1592"/>
      <c r="J1214" s="1598"/>
      <c r="N1214" s="1493"/>
    </row>
    <row r="1215" spans="2:14" x14ac:dyDescent="0.2">
      <c r="B1215" s="1593"/>
      <c r="C1215" s="1592"/>
      <c r="J1215" s="1598"/>
      <c r="N1215" s="1493"/>
    </row>
    <row r="1216" spans="2:14" x14ac:dyDescent="0.2">
      <c r="B1216" s="1593"/>
      <c r="C1216" s="1592"/>
      <c r="J1216" s="1598"/>
      <c r="N1216" s="1493"/>
    </row>
    <row r="1217" spans="2:14" x14ac:dyDescent="0.2">
      <c r="B1217" s="1593"/>
      <c r="C1217" s="1592"/>
      <c r="J1217" s="1598"/>
      <c r="N1217" s="1493"/>
    </row>
    <row r="1218" spans="2:14" x14ac:dyDescent="0.2">
      <c r="B1218" s="1593"/>
      <c r="C1218" s="1592"/>
      <c r="J1218" s="1598"/>
      <c r="N1218" s="1493"/>
    </row>
    <row r="1219" spans="2:14" x14ac:dyDescent="0.2">
      <c r="B1219" s="1593"/>
      <c r="C1219" s="1592"/>
      <c r="J1219" s="1598"/>
      <c r="N1219" s="1493"/>
    </row>
    <row r="1220" spans="2:14" x14ac:dyDescent="0.2">
      <c r="B1220" s="1593"/>
      <c r="C1220" s="1592"/>
      <c r="J1220" s="1598"/>
      <c r="N1220" s="1493"/>
    </row>
    <row r="1221" spans="2:14" x14ac:dyDescent="0.2">
      <c r="B1221" s="1593"/>
      <c r="C1221" s="1592"/>
      <c r="J1221" s="1598"/>
      <c r="N1221" s="1493"/>
    </row>
    <row r="1222" spans="2:14" x14ac:dyDescent="0.2">
      <c r="B1222" s="1593"/>
      <c r="C1222" s="1592"/>
      <c r="J1222" s="1598"/>
      <c r="N1222" s="1493"/>
    </row>
    <row r="1223" spans="2:14" x14ac:dyDescent="0.2">
      <c r="B1223" s="1593"/>
      <c r="C1223" s="1592"/>
      <c r="J1223" s="1598"/>
      <c r="N1223" s="1493"/>
    </row>
    <row r="1224" spans="2:14" x14ac:dyDescent="0.2">
      <c r="B1224" s="1593"/>
      <c r="C1224" s="1592"/>
      <c r="J1224" s="1598"/>
      <c r="N1224" s="1493"/>
    </row>
    <row r="1225" spans="2:14" x14ac:dyDescent="0.2">
      <c r="B1225" s="1593"/>
      <c r="C1225" s="1592"/>
      <c r="J1225" s="1598"/>
      <c r="N1225" s="1493"/>
    </row>
    <row r="1226" spans="2:14" x14ac:dyDescent="0.2">
      <c r="B1226" s="1593"/>
      <c r="C1226" s="1592"/>
      <c r="J1226" s="1598"/>
      <c r="N1226" s="1493"/>
    </row>
    <row r="1227" spans="2:14" x14ac:dyDescent="0.2">
      <c r="B1227" s="1593"/>
      <c r="C1227" s="1592"/>
      <c r="J1227" s="1598"/>
      <c r="N1227" s="1493"/>
    </row>
    <row r="1228" spans="2:14" x14ac:dyDescent="0.2">
      <c r="B1228" s="1593"/>
      <c r="C1228" s="1592"/>
      <c r="J1228" s="1598"/>
      <c r="N1228" s="1493"/>
    </row>
    <row r="1229" spans="2:14" x14ac:dyDescent="0.2">
      <c r="B1229" s="1593"/>
      <c r="C1229" s="1592"/>
      <c r="J1229" s="1598"/>
      <c r="N1229" s="1493"/>
    </row>
    <row r="1230" spans="2:14" x14ac:dyDescent="0.2">
      <c r="B1230" s="1593"/>
      <c r="C1230" s="1592"/>
      <c r="J1230" s="1598"/>
      <c r="N1230" s="1493"/>
    </row>
    <row r="1231" spans="2:14" x14ac:dyDescent="0.2">
      <c r="B1231" s="1593"/>
      <c r="C1231" s="1592"/>
      <c r="J1231" s="1598"/>
      <c r="N1231" s="1493"/>
    </row>
    <row r="1232" spans="2:14" x14ac:dyDescent="0.2">
      <c r="B1232" s="1593"/>
      <c r="C1232" s="1592"/>
      <c r="J1232" s="1598"/>
      <c r="N1232" s="1493"/>
    </row>
    <row r="1233" spans="2:14" x14ac:dyDescent="0.2">
      <c r="B1233" s="1593"/>
      <c r="C1233" s="1592"/>
      <c r="J1233" s="1598"/>
      <c r="N1233" s="1493"/>
    </row>
    <row r="1234" spans="2:14" x14ac:dyDescent="0.2">
      <c r="B1234" s="1593"/>
      <c r="C1234" s="1592"/>
      <c r="J1234" s="1598"/>
      <c r="N1234" s="1493"/>
    </row>
    <row r="1235" spans="2:14" x14ac:dyDescent="0.2">
      <c r="B1235" s="1593"/>
      <c r="C1235" s="1592"/>
      <c r="J1235" s="1598"/>
      <c r="N1235" s="1493"/>
    </row>
    <row r="1236" spans="2:14" x14ac:dyDescent="0.2">
      <c r="B1236" s="1593"/>
      <c r="C1236" s="1592"/>
      <c r="J1236" s="1598"/>
      <c r="N1236" s="1493"/>
    </row>
    <row r="1237" spans="2:14" x14ac:dyDescent="0.2">
      <c r="B1237" s="1593"/>
      <c r="C1237" s="1592"/>
      <c r="J1237" s="1598"/>
      <c r="N1237" s="1493"/>
    </row>
    <row r="1238" spans="2:14" x14ac:dyDescent="0.2">
      <c r="B1238" s="1593"/>
      <c r="C1238" s="1592"/>
      <c r="J1238" s="1598"/>
      <c r="N1238" s="1493"/>
    </row>
    <row r="1239" spans="2:14" x14ac:dyDescent="0.2">
      <c r="B1239" s="1593"/>
      <c r="C1239" s="1592"/>
      <c r="J1239" s="1598"/>
      <c r="N1239" s="1493"/>
    </row>
    <row r="1240" spans="2:14" x14ac:dyDescent="0.2">
      <c r="B1240" s="1593"/>
      <c r="C1240" s="1592"/>
      <c r="J1240" s="1598"/>
      <c r="N1240" s="1493"/>
    </row>
    <row r="1241" spans="2:14" x14ac:dyDescent="0.2">
      <c r="B1241" s="1593"/>
      <c r="C1241" s="1592"/>
      <c r="J1241" s="1598"/>
      <c r="N1241" s="1493"/>
    </row>
    <row r="1242" spans="2:14" x14ac:dyDescent="0.2">
      <c r="B1242" s="1593"/>
      <c r="C1242" s="1592"/>
      <c r="J1242" s="1598"/>
      <c r="N1242" s="1493"/>
    </row>
    <row r="1243" spans="2:14" x14ac:dyDescent="0.2">
      <c r="B1243" s="1593"/>
      <c r="C1243" s="1592"/>
      <c r="J1243" s="1598"/>
      <c r="N1243" s="1493"/>
    </row>
    <row r="1244" spans="2:14" x14ac:dyDescent="0.2">
      <c r="B1244" s="1593"/>
      <c r="C1244" s="1592"/>
      <c r="J1244" s="1598"/>
      <c r="N1244" s="1493"/>
    </row>
    <row r="1245" spans="2:14" x14ac:dyDescent="0.2">
      <c r="B1245" s="1593"/>
      <c r="C1245" s="1592"/>
      <c r="J1245" s="1598"/>
      <c r="N1245" s="1493"/>
    </row>
    <row r="1246" spans="2:14" x14ac:dyDescent="0.2">
      <c r="B1246" s="1593"/>
      <c r="C1246" s="1592"/>
      <c r="J1246" s="1598"/>
      <c r="N1246" s="1493"/>
    </row>
    <row r="1247" spans="2:14" x14ac:dyDescent="0.2">
      <c r="B1247" s="1593"/>
      <c r="C1247" s="1592"/>
      <c r="J1247" s="1598"/>
      <c r="N1247" s="1493"/>
    </row>
    <row r="1248" spans="2:14" x14ac:dyDescent="0.2">
      <c r="B1248" s="1593"/>
      <c r="C1248" s="1592"/>
      <c r="J1248" s="1598"/>
      <c r="N1248" s="1493"/>
    </row>
    <row r="1249" spans="2:14" x14ac:dyDescent="0.2">
      <c r="B1249" s="1593"/>
      <c r="C1249" s="1592"/>
      <c r="J1249" s="1598"/>
      <c r="N1249" s="1493"/>
    </row>
    <row r="1250" spans="2:14" x14ac:dyDescent="0.2">
      <c r="B1250" s="1593"/>
      <c r="C1250" s="1592"/>
      <c r="J1250" s="1598"/>
      <c r="N1250" s="1493"/>
    </row>
    <row r="1251" spans="2:14" x14ac:dyDescent="0.2">
      <c r="B1251" s="1593"/>
      <c r="C1251" s="1592"/>
      <c r="J1251" s="1598"/>
      <c r="N1251" s="1493"/>
    </row>
    <row r="1252" spans="2:14" x14ac:dyDescent="0.2">
      <c r="B1252" s="1593"/>
      <c r="C1252" s="1592"/>
      <c r="J1252" s="1598"/>
      <c r="N1252" s="1493"/>
    </row>
    <row r="1253" spans="2:14" x14ac:dyDescent="0.2">
      <c r="B1253" s="1593"/>
      <c r="C1253" s="1592"/>
      <c r="J1253" s="1598"/>
      <c r="N1253" s="1493"/>
    </row>
    <row r="1254" spans="2:14" x14ac:dyDescent="0.2">
      <c r="B1254" s="1593"/>
      <c r="C1254" s="1592"/>
      <c r="J1254" s="1598"/>
      <c r="N1254" s="1493"/>
    </row>
    <row r="1255" spans="2:14" x14ac:dyDescent="0.2">
      <c r="B1255" s="1593"/>
      <c r="C1255" s="1592"/>
      <c r="J1255" s="1598"/>
      <c r="N1255" s="1493"/>
    </row>
    <row r="1256" spans="2:14" x14ac:dyDescent="0.2">
      <c r="B1256" s="1593"/>
      <c r="C1256" s="1592"/>
      <c r="J1256" s="1598"/>
      <c r="N1256" s="1493"/>
    </row>
    <row r="1257" spans="2:14" x14ac:dyDescent="0.2">
      <c r="B1257" s="1593"/>
      <c r="C1257" s="1592"/>
      <c r="J1257" s="1598"/>
      <c r="N1257" s="1493"/>
    </row>
    <row r="1258" spans="2:14" x14ac:dyDescent="0.2">
      <c r="B1258" s="1593"/>
      <c r="C1258" s="1592"/>
      <c r="J1258" s="1598"/>
      <c r="N1258" s="1493"/>
    </row>
    <row r="1259" spans="2:14" x14ac:dyDescent="0.2">
      <c r="B1259" s="1593"/>
      <c r="C1259" s="1592"/>
      <c r="J1259" s="1598"/>
      <c r="N1259" s="1493"/>
    </row>
    <row r="1260" spans="2:14" x14ac:dyDescent="0.2">
      <c r="B1260" s="1593"/>
      <c r="C1260" s="1592"/>
      <c r="J1260" s="1598"/>
      <c r="N1260" s="1493"/>
    </row>
    <row r="1261" spans="2:14" x14ac:dyDescent="0.2">
      <c r="B1261" s="1593"/>
      <c r="C1261" s="1592"/>
      <c r="J1261" s="1598"/>
      <c r="N1261" s="1493"/>
    </row>
    <row r="1262" spans="2:14" x14ac:dyDescent="0.2">
      <c r="B1262" s="1593"/>
      <c r="C1262" s="1592"/>
      <c r="J1262" s="1598"/>
      <c r="N1262" s="1493"/>
    </row>
    <row r="1263" spans="2:14" x14ac:dyDescent="0.2">
      <c r="B1263" s="1593"/>
      <c r="C1263" s="1592"/>
      <c r="J1263" s="1598"/>
      <c r="N1263" s="1493"/>
    </row>
    <row r="1264" spans="2:14" x14ac:dyDescent="0.2">
      <c r="B1264" s="1593"/>
      <c r="C1264" s="1592"/>
      <c r="J1264" s="1598"/>
      <c r="N1264" s="1493"/>
    </row>
    <row r="1265" spans="2:14" x14ac:dyDescent="0.2">
      <c r="B1265" s="1593"/>
      <c r="C1265" s="1592"/>
      <c r="J1265" s="1598"/>
      <c r="N1265" s="1493"/>
    </row>
    <row r="1266" spans="2:14" x14ac:dyDescent="0.2">
      <c r="B1266" s="1593"/>
      <c r="C1266" s="1592"/>
      <c r="J1266" s="1598"/>
      <c r="N1266" s="1493"/>
    </row>
    <row r="1267" spans="2:14" x14ac:dyDescent="0.2">
      <c r="B1267" s="1593"/>
      <c r="C1267" s="1592"/>
      <c r="J1267" s="1598"/>
      <c r="N1267" s="1493"/>
    </row>
    <row r="1268" spans="2:14" x14ac:dyDescent="0.2">
      <c r="B1268" s="1593"/>
      <c r="C1268" s="1592"/>
      <c r="J1268" s="1598"/>
      <c r="N1268" s="1493"/>
    </row>
    <row r="1269" spans="2:14" x14ac:dyDescent="0.2">
      <c r="B1269" s="1593"/>
      <c r="C1269" s="1592"/>
      <c r="J1269" s="1598"/>
      <c r="N1269" s="1493"/>
    </row>
    <row r="1270" spans="2:14" x14ac:dyDescent="0.2">
      <c r="B1270" s="1593"/>
      <c r="C1270" s="1592"/>
      <c r="J1270" s="1598"/>
      <c r="N1270" s="1493"/>
    </row>
    <row r="1271" spans="2:14" x14ac:dyDescent="0.2">
      <c r="B1271" s="1593"/>
      <c r="C1271" s="1592"/>
      <c r="J1271" s="1598"/>
      <c r="N1271" s="1493"/>
    </row>
    <row r="1272" spans="2:14" x14ac:dyDescent="0.2">
      <c r="B1272" s="1593"/>
      <c r="C1272" s="1592"/>
      <c r="J1272" s="1598"/>
      <c r="N1272" s="1493"/>
    </row>
    <row r="1273" spans="2:14" x14ac:dyDescent="0.2">
      <c r="B1273" s="1593"/>
      <c r="C1273" s="1592"/>
      <c r="J1273" s="1598"/>
      <c r="N1273" s="1493"/>
    </row>
    <row r="1274" spans="2:14" x14ac:dyDescent="0.2">
      <c r="B1274" s="1593"/>
      <c r="C1274" s="1592"/>
      <c r="J1274" s="1598"/>
      <c r="N1274" s="1493"/>
    </row>
    <row r="1275" spans="2:14" x14ac:dyDescent="0.2">
      <c r="B1275" s="1593"/>
      <c r="C1275" s="1592"/>
      <c r="J1275" s="1598"/>
      <c r="N1275" s="1493"/>
    </row>
    <row r="1276" spans="2:14" x14ac:dyDescent="0.2">
      <c r="B1276" s="1593"/>
      <c r="C1276" s="1592"/>
      <c r="J1276" s="1598"/>
      <c r="N1276" s="1493"/>
    </row>
    <row r="1277" spans="2:14" x14ac:dyDescent="0.2">
      <c r="B1277" s="1593"/>
      <c r="C1277" s="1592"/>
      <c r="J1277" s="1598"/>
      <c r="N1277" s="1493"/>
    </row>
    <row r="1278" spans="2:14" x14ac:dyDescent="0.2">
      <c r="B1278" s="1593"/>
      <c r="C1278" s="1592"/>
      <c r="J1278" s="1598"/>
      <c r="N1278" s="1493"/>
    </row>
    <row r="1279" spans="2:14" x14ac:dyDescent="0.2">
      <c r="B1279" s="1593"/>
      <c r="C1279" s="1592"/>
      <c r="J1279" s="1598"/>
      <c r="N1279" s="1493"/>
    </row>
    <row r="1280" spans="2:14" x14ac:dyDescent="0.2">
      <c r="B1280" s="1593"/>
      <c r="C1280" s="1592"/>
      <c r="J1280" s="1598"/>
      <c r="N1280" s="1493"/>
    </row>
    <row r="1281" spans="2:14" x14ac:dyDescent="0.2">
      <c r="B1281" s="1593"/>
      <c r="C1281" s="1592"/>
      <c r="J1281" s="1598"/>
      <c r="N1281" s="1493"/>
    </row>
    <row r="1282" spans="2:14" x14ac:dyDescent="0.2">
      <c r="B1282" s="1593"/>
      <c r="C1282" s="1592"/>
      <c r="J1282" s="1598"/>
      <c r="N1282" s="1493"/>
    </row>
    <row r="1283" spans="2:14" x14ac:dyDescent="0.2">
      <c r="B1283" s="1593"/>
      <c r="C1283" s="1592"/>
      <c r="J1283" s="1598"/>
      <c r="N1283" s="1493"/>
    </row>
    <row r="1284" spans="2:14" x14ac:dyDescent="0.2">
      <c r="B1284" s="1593"/>
      <c r="C1284" s="1592"/>
      <c r="J1284" s="1598"/>
      <c r="N1284" s="1493"/>
    </row>
    <row r="1285" spans="2:14" x14ac:dyDescent="0.2">
      <c r="B1285" s="1593"/>
      <c r="C1285" s="1592"/>
      <c r="J1285" s="1598"/>
      <c r="N1285" s="1493"/>
    </row>
    <row r="1286" spans="2:14" x14ac:dyDescent="0.2">
      <c r="B1286" s="1593"/>
      <c r="C1286" s="1592"/>
      <c r="J1286" s="1598"/>
      <c r="N1286" s="1493"/>
    </row>
    <row r="1287" spans="2:14" x14ac:dyDescent="0.2">
      <c r="B1287" s="1593"/>
      <c r="C1287" s="1592"/>
      <c r="J1287" s="1598"/>
      <c r="N1287" s="1493"/>
    </row>
    <row r="1288" spans="2:14" x14ac:dyDescent="0.2">
      <c r="B1288" s="1593"/>
      <c r="C1288" s="1592"/>
      <c r="J1288" s="1598"/>
      <c r="N1288" s="1493"/>
    </row>
    <row r="1289" spans="2:14" x14ac:dyDescent="0.2">
      <c r="B1289" s="1593"/>
      <c r="C1289" s="1592"/>
      <c r="J1289" s="1598"/>
      <c r="N1289" s="1493"/>
    </row>
    <row r="1290" spans="2:14" x14ac:dyDescent="0.2">
      <c r="B1290" s="1593"/>
      <c r="C1290" s="1592"/>
      <c r="J1290" s="1598"/>
      <c r="N1290" s="1493"/>
    </row>
    <row r="1291" spans="2:14" x14ac:dyDescent="0.2">
      <c r="B1291" s="1593"/>
      <c r="C1291" s="1592"/>
      <c r="J1291" s="1598"/>
      <c r="N1291" s="1493"/>
    </row>
    <row r="1292" spans="2:14" x14ac:dyDescent="0.2">
      <c r="B1292" s="1593"/>
      <c r="C1292" s="1592"/>
      <c r="J1292" s="1598"/>
      <c r="N1292" s="1493"/>
    </row>
    <row r="1293" spans="2:14" x14ac:dyDescent="0.2">
      <c r="B1293" s="1593"/>
      <c r="C1293" s="1592"/>
      <c r="J1293" s="1598"/>
      <c r="N1293" s="1493"/>
    </row>
    <row r="1294" spans="2:14" x14ac:dyDescent="0.2">
      <c r="B1294" s="1593"/>
      <c r="C1294" s="1592"/>
      <c r="J1294" s="1598"/>
      <c r="N1294" s="1493"/>
    </row>
    <row r="1295" spans="2:14" x14ac:dyDescent="0.2">
      <c r="B1295" s="1593"/>
      <c r="C1295" s="1592"/>
      <c r="J1295" s="1598"/>
      <c r="N1295" s="1493"/>
    </row>
    <row r="1296" spans="2:14" x14ac:dyDescent="0.2">
      <c r="B1296" s="1593"/>
      <c r="C1296" s="1592"/>
      <c r="J1296" s="1598"/>
      <c r="N1296" s="1493"/>
    </row>
    <row r="1297" spans="2:14" x14ac:dyDescent="0.2">
      <c r="B1297" s="1593"/>
      <c r="C1297" s="1592"/>
      <c r="J1297" s="1598"/>
      <c r="N1297" s="1493"/>
    </row>
    <row r="1298" spans="2:14" x14ac:dyDescent="0.2">
      <c r="B1298" s="1593"/>
      <c r="C1298" s="1592"/>
      <c r="J1298" s="1598"/>
      <c r="N1298" s="1493"/>
    </row>
    <row r="1299" spans="2:14" x14ac:dyDescent="0.2">
      <c r="B1299" s="1593"/>
      <c r="C1299" s="1592"/>
      <c r="J1299" s="1598"/>
      <c r="N1299" s="1493"/>
    </row>
    <row r="1300" spans="2:14" x14ac:dyDescent="0.2">
      <c r="B1300" s="1593"/>
      <c r="C1300" s="1592"/>
      <c r="J1300" s="1598"/>
      <c r="N1300" s="1493"/>
    </row>
    <row r="1301" spans="2:14" x14ac:dyDescent="0.2">
      <c r="B1301" s="1593"/>
      <c r="C1301" s="1592"/>
      <c r="J1301" s="1598"/>
      <c r="N1301" s="1493"/>
    </row>
    <row r="1302" spans="2:14" x14ac:dyDescent="0.2">
      <c r="B1302" s="1593"/>
      <c r="C1302" s="1592"/>
      <c r="J1302" s="1598"/>
      <c r="N1302" s="1493"/>
    </row>
    <row r="1303" spans="2:14" x14ac:dyDescent="0.2">
      <c r="B1303" s="1593"/>
      <c r="C1303" s="1592"/>
      <c r="J1303" s="1598"/>
      <c r="N1303" s="1493"/>
    </row>
    <row r="1304" spans="2:14" x14ac:dyDescent="0.2">
      <c r="B1304" s="1593"/>
      <c r="C1304" s="1592"/>
      <c r="J1304" s="1598"/>
      <c r="N1304" s="1493"/>
    </row>
    <row r="1305" spans="2:14" x14ac:dyDescent="0.2">
      <c r="B1305" s="1593"/>
      <c r="C1305" s="1592"/>
      <c r="J1305" s="1598"/>
      <c r="N1305" s="1493"/>
    </row>
    <row r="1306" spans="2:14" x14ac:dyDescent="0.2">
      <c r="B1306" s="1593"/>
      <c r="C1306" s="1592"/>
      <c r="J1306" s="1598"/>
      <c r="N1306" s="1493"/>
    </row>
    <row r="1307" spans="2:14" x14ac:dyDescent="0.2">
      <c r="B1307" s="1593"/>
      <c r="C1307" s="1592"/>
      <c r="J1307" s="1598"/>
      <c r="N1307" s="1493"/>
    </row>
    <row r="1308" spans="2:14" x14ac:dyDescent="0.2">
      <c r="B1308" s="1593"/>
      <c r="C1308" s="1592"/>
      <c r="J1308" s="1598"/>
      <c r="N1308" s="1493"/>
    </row>
    <row r="1309" spans="2:14" x14ac:dyDescent="0.2">
      <c r="B1309" s="1593"/>
      <c r="C1309" s="1592"/>
      <c r="J1309" s="1598"/>
      <c r="N1309" s="1493"/>
    </row>
    <row r="1310" spans="2:14" x14ac:dyDescent="0.2">
      <c r="B1310" s="1593"/>
      <c r="C1310" s="1592"/>
      <c r="J1310" s="1598"/>
      <c r="N1310" s="1493"/>
    </row>
    <row r="1311" spans="2:14" x14ac:dyDescent="0.2">
      <c r="B1311" s="1593"/>
      <c r="C1311" s="1592"/>
      <c r="J1311" s="1598"/>
      <c r="N1311" s="1493"/>
    </row>
    <row r="1312" spans="2:14" x14ac:dyDescent="0.2">
      <c r="B1312" s="1593"/>
      <c r="C1312" s="1592"/>
      <c r="J1312" s="1598"/>
      <c r="N1312" s="1493"/>
    </row>
    <row r="1313" spans="2:14" x14ac:dyDescent="0.2">
      <c r="B1313" s="1593"/>
      <c r="C1313" s="1592"/>
      <c r="J1313" s="1598"/>
      <c r="N1313" s="1493"/>
    </row>
    <row r="1314" spans="2:14" x14ac:dyDescent="0.2">
      <c r="B1314" s="1593"/>
      <c r="C1314" s="1592"/>
      <c r="J1314" s="1598"/>
      <c r="N1314" s="1493"/>
    </row>
    <row r="1315" spans="2:14" x14ac:dyDescent="0.2">
      <c r="B1315" s="1593"/>
      <c r="C1315" s="1592"/>
      <c r="J1315" s="1598"/>
      <c r="N1315" s="1493"/>
    </row>
    <row r="1316" spans="2:14" x14ac:dyDescent="0.2">
      <c r="B1316" s="1593"/>
      <c r="C1316" s="1592"/>
      <c r="J1316" s="1598"/>
      <c r="N1316" s="1493"/>
    </row>
    <row r="1317" spans="2:14" x14ac:dyDescent="0.2">
      <c r="B1317" s="1593"/>
      <c r="C1317" s="1592"/>
      <c r="J1317" s="1598"/>
      <c r="N1317" s="1493"/>
    </row>
    <row r="1318" spans="2:14" x14ac:dyDescent="0.2">
      <c r="B1318" s="1593"/>
      <c r="C1318" s="1592"/>
      <c r="J1318" s="1598"/>
      <c r="N1318" s="1493"/>
    </row>
    <row r="1319" spans="2:14" x14ac:dyDescent="0.2">
      <c r="B1319" s="1593"/>
      <c r="C1319" s="1592"/>
      <c r="J1319" s="1598"/>
      <c r="N1319" s="1493"/>
    </row>
    <row r="1320" spans="2:14" x14ac:dyDescent="0.2">
      <c r="B1320" s="1593"/>
      <c r="C1320" s="1592"/>
      <c r="J1320" s="1598"/>
      <c r="N1320" s="1493"/>
    </row>
    <row r="1321" spans="2:14" x14ac:dyDescent="0.2">
      <c r="B1321" s="1593"/>
      <c r="C1321" s="1592"/>
      <c r="J1321" s="1598"/>
      <c r="N1321" s="1493"/>
    </row>
    <row r="1322" spans="2:14" x14ac:dyDescent="0.2">
      <c r="B1322" s="1593"/>
      <c r="C1322" s="1592"/>
      <c r="J1322" s="1598"/>
      <c r="N1322" s="1493"/>
    </row>
    <row r="1323" spans="2:14" x14ac:dyDescent="0.2">
      <c r="B1323" s="1593"/>
      <c r="C1323" s="1592"/>
      <c r="J1323" s="1598"/>
      <c r="N1323" s="1493"/>
    </row>
    <row r="1324" spans="2:14" x14ac:dyDescent="0.2">
      <c r="B1324" s="1593"/>
      <c r="C1324" s="1592"/>
      <c r="J1324" s="1598"/>
      <c r="N1324" s="1493"/>
    </row>
    <row r="1325" spans="2:14" x14ac:dyDescent="0.2">
      <c r="B1325" s="1593"/>
      <c r="C1325" s="1592"/>
      <c r="J1325" s="1598"/>
      <c r="N1325" s="1493"/>
    </row>
    <row r="1326" spans="2:14" x14ac:dyDescent="0.2">
      <c r="B1326" s="1593"/>
      <c r="C1326" s="1592"/>
      <c r="J1326" s="1598"/>
      <c r="N1326" s="1493"/>
    </row>
    <row r="1327" spans="2:14" x14ac:dyDescent="0.2">
      <c r="B1327" s="1593"/>
      <c r="C1327" s="1592"/>
      <c r="J1327" s="1598"/>
      <c r="N1327" s="1493"/>
    </row>
    <row r="1328" spans="2:14" x14ac:dyDescent="0.2">
      <c r="B1328" s="1593"/>
      <c r="C1328" s="1592"/>
      <c r="J1328" s="1598"/>
      <c r="N1328" s="1493"/>
    </row>
    <row r="1329" spans="2:14" x14ac:dyDescent="0.2">
      <c r="B1329" s="1593"/>
      <c r="C1329" s="1592"/>
      <c r="J1329" s="1598"/>
      <c r="N1329" s="1493"/>
    </row>
    <row r="1330" spans="2:14" x14ac:dyDescent="0.2">
      <c r="B1330" s="1593"/>
      <c r="C1330" s="1592"/>
      <c r="J1330" s="1598"/>
      <c r="N1330" s="1493"/>
    </row>
    <row r="1331" spans="2:14" x14ac:dyDescent="0.2">
      <c r="B1331" s="1593"/>
      <c r="C1331" s="1592"/>
      <c r="J1331" s="1598"/>
      <c r="N1331" s="1493"/>
    </row>
    <row r="1332" spans="2:14" x14ac:dyDescent="0.2">
      <c r="B1332" s="1593"/>
      <c r="C1332" s="1592"/>
      <c r="J1332" s="1598"/>
      <c r="N1332" s="1493"/>
    </row>
    <row r="1333" spans="2:14" x14ac:dyDescent="0.2">
      <c r="B1333" s="1593"/>
      <c r="C1333" s="1592"/>
      <c r="J1333" s="1598"/>
      <c r="N1333" s="1493"/>
    </row>
    <row r="1334" spans="2:14" x14ac:dyDescent="0.2">
      <c r="B1334" s="1593"/>
      <c r="C1334" s="1592"/>
      <c r="J1334" s="1598"/>
      <c r="N1334" s="1493"/>
    </row>
    <row r="1335" spans="2:14" x14ac:dyDescent="0.2">
      <c r="B1335" s="1593"/>
      <c r="C1335" s="1592"/>
      <c r="J1335" s="1598"/>
      <c r="N1335" s="1493"/>
    </row>
    <row r="1336" spans="2:14" x14ac:dyDescent="0.2">
      <c r="B1336" s="1593"/>
      <c r="C1336" s="1592"/>
      <c r="J1336" s="1598"/>
      <c r="N1336" s="1493"/>
    </row>
    <row r="1337" spans="2:14" x14ac:dyDescent="0.2">
      <c r="B1337" s="1593"/>
      <c r="C1337" s="1592"/>
      <c r="J1337" s="1598"/>
      <c r="N1337" s="1493"/>
    </row>
    <row r="1338" spans="2:14" x14ac:dyDescent="0.2">
      <c r="B1338" s="1593"/>
      <c r="C1338" s="1592"/>
      <c r="J1338" s="1598"/>
      <c r="N1338" s="1493"/>
    </row>
    <row r="1339" spans="2:14" x14ac:dyDescent="0.2">
      <c r="B1339" s="1593"/>
      <c r="C1339" s="1592"/>
      <c r="J1339" s="1598"/>
      <c r="N1339" s="1493"/>
    </row>
    <row r="1340" spans="2:14" x14ac:dyDescent="0.2">
      <c r="B1340" s="1593"/>
      <c r="C1340" s="1592"/>
      <c r="J1340" s="1598"/>
      <c r="N1340" s="1493"/>
    </row>
    <row r="1341" spans="2:14" x14ac:dyDescent="0.2">
      <c r="B1341" s="1593"/>
      <c r="C1341" s="1592"/>
      <c r="J1341" s="1598"/>
      <c r="N1341" s="1493"/>
    </row>
    <row r="1342" spans="2:14" x14ac:dyDescent="0.2">
      <c r="B1342" s="1593"/>
      <c r="C1342" s="1592"/>
      <c r="J1342" s="1598"/>
      <c r="N1342" s="1493"/>
    </row>
    <row r="1343" spans="2:14" x14ac:dyDescent="0.2">
      <c r="B1343" s="1593"/>
      <c r="C1343" s="1592"/>
      <c r="J1343" s="1598"/>
      <c r="N1343" s="1493"/>
    </row>
    <row r="1344" spans="2:14" x14ac:dyDescent="0.2">
      <c r="B1344" s="1593"/>
      <c r="C1344" s="1592"/>
      <c r="J1344" s="1598"/>
      <c r="N1344" s="1493"/>
    </row>
    <row r="1345" spans="2:14" x14ac:dyDescent="0.2">
      <c r="B1345" s="1593"/>
      <c r="C1345" s="1592"/>
      <c r="J1345" s="1598"/>
      <c r="N1345" s="1493"/>
    </row>
    <row r="1346" spans="2:14" x14ac:dyDescent="0.2">
      <c r="B1346" s="1593"/>
      <c r="C1346" s="1592"/>
      <c r="J1346" s="1598"/>
      <c r="N1346" s="1493"/>
    </row>
    <row r="1347" spans="2:14" x14ac:dyDescent="0.2">
      <c r="B1347" s="1593"/>
      <c r="C1347" s="1592"/>
      <c r="J1347" s="1598"/>
      <c r="N1347" s="1493"/>
    </row>
    <row r="1348" spans="2:14" x14ac:dyDescent="0.2">
      <c r="B1348" s="1593"/>
      <c r="C1348" s="1592"/>
      <c r="J1348" s="1598"/>
      <c r="N1348" s="1493"/>
    </row>
    <row r="1349" spans="2:14" x14ac:dyDescent="0.2">
      <c r="B1349" s="1593"/>
      <c r="C1349" s="1592"/>
      <c r="J1349" s="1598"/>
      <c r="N1349" s="1493"/>
    </row>
    <row r="1350" spans="2:14" x14ac:dyDescent="0.2">
      <c r="B1350" s="1593"/>
      <c r="C1350" s="1592"/>
      <c r="J1350" s="1598"/>
      <c r="N1350" s="1493"/>
    </row>
    <row r="1351" spans="2:14" x14ac:dyDescent="0.2">
      <c r="B1351" s="1593"/>
      <c r="C1351" s="1592"/>
      <c r="J1351" s="1598"/>
      <c r="N1351" s="1493"/>
    </row>
    <row r="1352" spans="2:14" x14ac:dyDescent="0.2">
      <c r="B1352" s="1593"/>
      <c r="C1352" s="1592"/>
      <c r="J1352" s="1598"/>
      <c r="N1352" s="1493"/>
    </row>
    <row r="1353" spans="2:14" x14ac:dyDescent="0.2">
      <c r="B1353" s="1593"/>
      <c r="C1353" s="1592"/>
      <c r="J1353" s="1598"/>
      <c r="N1353" s="1493"/>
    </row>
    <row r="1354" spans="2:14" x14ac:dyDescent="0.2">
      <c r="B1354" s="1593"/>
      <c r="C1354" s="1592"/>
      <c r="J1354" s="1598"/>
      <c r="N1354" s="1493"/>
    </row>
    <row r="1355" spans="2:14" x14ac:dyDescent="0.2">
      <c r="B1355" s="1593"/>
      <c r="C1355" s="1592"/>
      <c r="J1355" s="1598"/>
      <c r="N1355" s="1493"/>
    </row>
    <row r="1356" spans="2:14" x14ac:dyDescent="0.2">
      <c r="B1356" s="1593"/>
      <c r="C1356" s="1592"/>
      <c r="J1356" s="1598"/>
      <c r="N1356" s="1493"/>
    </row>
    <row r="1357" spans="2:14" x14ac:dyDescent="0.2">
      <c r="B1357" s="1593"/>
      <c r="C1357" s="1592"/>
      <c r="J1357" s="1598"/>
      <c r="N1357" s="1493"/>
    </row>
    <row r="1358" spans="2:14" x14ac:dyDescent="0.2">
      <c r="B1358" s="1593"/>
      <c r="C1358" s="1592"/>
      <c r="J1358" s="1598"/>
      <c r="N1358" s="1493"/>
    </row>
    <row r="1359" spans="2:14" x14ac:dyDescent="0.2">
      <c r="B1359" s="1593"/>
      <c r="C1359" s="1592"/>
      <c r="J1359" s="1598"/>
      <c r="N1359" s="1493"/>
    </row>
    <row r="1360" spans="2:14" x14ac:dyDescent="0.2">
      <c r="B1360" s="1593"/>
      <c r="C1360" s="1592"/>
      <c r="J1360" s="1598"/>
      <c r="N1360" s="1493"/>
    </row>
    <row r="1361" spans="2:14" x14ac:dyDescent="0.2">
      <c r="B1361" s="1593"/>
      <c r="C1361" s="1592"/>
      <c r="J1361" s="1598"/>
      <c r="N1361" s="1493"/>
    </row>
    <row r="1362" spans="2:14" x14ac:dyDescent="0.2">
      <c r="B1362" s="1593"/>
      <c r="C1362" s="1592"/>
      <c r="J1362" s="1598"/>
      <c r="N1362" s="1493"/>
    </row>
    <row r="1363" spans="2:14" x14ac:dyDescent="0.2">
      <c r="B1363" s="1593"/>
      <c r="C1363" s="1592"/>
      <c r="J1363" s="1598"/>
      <c r="N1363" s="1493"/>
    </row>
    <row r="1364" spans="2:14" x14ac:dyDescent="0.2">
      <c r="B1364" s="1593"/>
      <c r="C1364" s="1592"/>
      <c r="J1364" s="1598"/>
      <c r="N1364" s="1493"/>
    </row>
    <row r="1365" spans="2:14" x14ac:dyDescent="0.2">
      <c r="B1365" s="1593"/>
      <c r="C1365" s="1592"/>
      <c r="J1365" s="1598"/>
      <c r="N1365" s="1493"/>
    </row>
    <row r="1366" spans="2:14" x14ac:dyDescent="0.2">
      <c r="B1366" s="1593"/>
      <c r="C1366" s="1592"/>
      <c r="J1366" s="1598"/>
      <c r="N1366" s="1493"/>
    </row>
    <row r="1367" spans="2:14" x14ac:dyDescent="0.2">
      <c r="B1367" s="1593"/>
      <c r="C1367" s="1592"/>
      <c r="J1367" s="1598"/>
      <c r="N1367" s="1493"/>
    </row>
    <row r="1368" spans="2:14" x14ac:dyDescent="0.2">
      <c r="B1368" s="1593"/>
      <c r="C1368" s="1592"/>
      <c r="J1368" s="1598"/>
      <c r="N1368" s="1493"/>
    </row>
    <row r="1369" spans="2:14" x14ac:dyDescent="0.2">
      <c r="B1369" s="1593"/>
      <c r="C1369" s="1592"/>
      <c r="J1369" s="1598"/>
      <c r="N1369" s="1493"/>
    </row>
    <row r="1370" spans="2:14" x14ac:dyDescent="0.2">
      <c r="B1370" s="1593"/>
      <c r="C1370" s="1592"/>
      <c r="J1370" s="1598"/>
      <c r="N1370" s="1493"/>
    </row>
    <row r="1371" spans="2:14" x14ac:dyDescent="0.2">
      <c r="B1371" s="1593"/>
      <c r="C1371" s="1592"/>
      <c r="J1371" s="1598"/>
      <c r="N1371" s="1493"/>
    </row>
    <row r="1372" spans="2:14" x14ac:dyDescent="0.2">
      <c r="B1372" s="1593"/>
      <c r="C1372" s="1592"/>
      <c r="J1372" s="1598"/>
      <c r="N1372" s="1493"/>
    </row>
    <row r="1373" spans="2:14" x14ac:dyDescent="0.2">
      <c r="B1373" s="1593"/>
      <c r="C1373" s="1592"/>
      <c r="J1373" s="1598"/>
      <c r="N1373" s="1493"/>
    </row>
    <row r="1374" spans="2:14" x14ac:dyDescent="0.2">
      <c r="B1374" s="1593"/>
      <c r="C1374" s="1592"/>
      <c r="J1374" s="1598"/>
      <c r="N1374" s="1493"/>
    </row>
    <row r="1375" spans="2:14" x14ac:dyDescent="0.2">
      <c r="B1375" s="1593"/>
      <c r="C1375" s="1592"/>
      <c r="J1375" s="1598"/>
      <c r="N1375" s="1493"/>
    </row>
    <row r="1376" spans="2:14" x14ac:dyDescent="0.2">
      <c r="B1376" s="1593"/>
      <c r="C1376" s="1592"/>
      <c r="J1376" s="1598"/>
      <c r="N1376" s="1493"/>
    </row>
    <row r="1377" spans="2:14" x14ac:dyDescent="0.2">
      <c r="B1377" s="1593"/>
      <c r="C1377" s="1592"/>
      <c r="J1377" s="1598"/>
      <c r="N1377" s="1493"/>
    </row>
    <row r="1378" spans="2:14" x14ac:dyDescent="0.2">
      <c r="B1378" s="1593"/>
      <c r="C1378" s="1592"/>
      <c r="J1378" s="1598"/>
      <c r="N1378" s="1493"/>
    </row>
    <row r="1379" spans="2:14" x14ac:dyDescent="0.2">
      <c r="B1379" s="1593"/>
      <c r="C1379" s="1592"/>
      <c r="J1379" s="1598"/>
      <c r="N1379" s="1493"/>
    </row>
    <row r="1380" spans="2:14" x14ac:dyDescent="0.2">
      <c r="B1380" s="1593"/>
      <c r="C1380" s="1592"/>
      <c r="J1380" s="1598"/>
      <c r="N1380" s="1493"/>
    </row>
    <row r="1381" spans="2:14" x14ac:dyDescent="0.2">
      <c r="B1381" s="1593"/>
      <c r="C1381" s="1592"/>
      <c r="J1381" s="1598"/>
      <c r="N1381" s="1493"/>
    </row>
    <row r="1382" spans="2:14" x14ac:dyDescent="0.2">
      <c r="B1382" s="1593"/>
      <c r="C1382" s="1592"/>
      <c r="J1382" s="1598"/>
      <c r="N1382" s="1493"/>
    </row>
    <row r="1383" spans="2:14" x14ac:dyDescent="0.2">
      <c r="B1383" s="1593"/>
      <c r="C1383" s="1592"/>
      <c r="J1383" s="1598"/>
      <c r="N1383" s="1493"/>
    </row>
    <row r="1384" spans="2:14" x14ac:dyDescent="0.2">
      <c r="B1384" s="1593"/>
      <c r="C1384" s="1592"/>
      <c r="J1384" s="1598"/>
      <c r="N1384" s="1493"/>
    </row>
    <row r="1385" spans="2:14" x14ac:dyDescent="0.2">
      <c r="B1385" s="1593"/>
      <c r="C1385" s="1592"/>
      <c r="J1385" s="1598"/>
      <c r="N1385" s="1493"/>
    </row>
    <row r="1386" spans="2:14" x14ac:dyDescent="0.2">
      <c r="B1386" s="1593"/>
      <c r="C1386" s="1592"/>
      <c r="J1386" s="1598"/>
      <c r="N1386" s="1493"/>
    </row>
    <row r="1387" spans="2:14" x14ac:dyDescent="0.2">
      <c r="B1387" s="1593"/>
      <c r="C1387" s="1592"/>
      <c r="J1387" s="1598"/>
      <c r="N1387" s="1493"/>
    </row>
    <row r="1388" spans="2:14" x14ac:dyDescent="0.2">
      <c r="B1388" s="1593"/>
      <c r="C1388" s="1592"/>
      <c r="J1388" s="1598"/>
      <c r="N1388" s="1493"/>
    </row>
    <row r="1389" spans="2:14" x14ac:dyDescent="0.2">
      <c r="B1389" s="1593"/>
      <c r="C1389" s="1592"/>
      <c r="J1389" s="1598"/>
      <c r="N1389" s="1493"/>
    </row>
    <row r="1390" spans="2:14" x14ac:dyDescent="0.2">
      <c r="B1390" s="1593"/>
      <c r="C1390" s="1592"/>
      <c r="J1390" s="1598"/>
      <c r="N1390" s="1493"/>
    </row>
    <row r="1391" spans="2:14" x14ac:dyDescent="0.2">
      <c r="B1391" s="1593"/>
      <c r="C1391" s="1592"/>
      <c r="J1391" s="1598"/>
      <c r="N1391" s="1493"/>
    </row>
    <row r="1392" spans="2:14" x14ac:dyDescent="0.2">
      <c r="B1392" s="1593"/>
      <c r="C1392" s="1592"/>
      <c r="J1392" s="1598"/>
      <c r="N1392" s="1493"/>
    </row>
    <row r="1393" spans="2:14" x14ac:dyDescent="0.2">
      <c r="B1393" s="1593"/>
      <c r="C1393" s="1592"/>
      <c r="J1393" s="1598"/>
      <c r="N1393" s="1493"/>
    </row>
    <row r="1394" spans="2:14" x14ac:dyDescent="0.2">
      <c r="B1394" s="1593"/>
      <c r="C1394" s="1592"/>
      <c r="J1394" s="1598"/>
      <c r="N1394" s="1493"/>
    </row>
    <row r="1395" spans="2:14" x14ac:dyDescent="0.2">
      <c r="B1395" s="1593"/>
      <c r="C1395" s="1592"/>
      <c r="J1395" s="1598"/>
      <c r="N1395" s="1493"/>
    </row>
    <row r="1396" spans="2:14" x14ac:dyDescent="0.2">
      <c r="B1396" s="1593"/>
      <c r="C1396" s="1592"/>
      <c r="J1396" s="1598"/>
      <c r="N1396" s="1493"/>
    </row>
    <row r="1397" spans="2:14" x14ac:dyDescent="0.2">
      <c r="B1397" s="1593"/>
      <c r="C1397" s="1592"/>
      <c r="J1397" s="1598"/>
      <c r="N1397" s="1493"/>
    </row>
    <row r="1398" spans="2:14" x14ac:dyDescent="0.2">
      <c r="B1398" s="1593"/>
      <c r="C1398" s="1592"/>
      <c r="J1398" s="1598"/>
      <c r="N1398" s="1493"/>
    </row>
    <row r="1399" spans="2:14" x14ac:dyDescent="0.2">
      <c r="B1399" s="1593"/>
      <c r="C1399" s="1592"/>
      <c r="J1399" s="1598"/>
      <c r="N1399" s="1493"/>
    </row>
    <row r="1400" spans="2:14" x14ac:dyDescent="0.2">
      <c r="B1400" s="1593"/>
      <c r="C1400" s="1592"/>
      <c r="J1400" s="1598"/>
      <c r="N1400" s="1493"/>
    </row>
    <row r="1401" spans="2:14" x14ac:dyDescent="0.2">
      <c r="B1401" s="1593"/>
      <c r="C1401" s="1592"/>
      <c r="J1401" s="1598"/>
      <c r="N1401" s="1493"/>
    </row>
    <row r="1402" spans="2:14" x14ac:dyDescent="0.2">
      <c r="B1402" s="1593"/>
      <c r="C1402" s="1592"/>
      <c r="J1402" s="1598"/>
      <c r="N1402" s="1493"/>
    </row>
    <row r="1403" spans="2:14" x14ac:dyDescent="0.2">
      <c r="B1403" s="1593"/>
      <c r="C1403" s="1592"/>
      <c r="J1403" s="1598"/>
      <c r="N1403" s="1493"/>
    </row>
    <row r="1404" spans="2:14" x14ac:dyDescent="0.2">
      <c r="B1404" s="1593"/>
      <c r="C1404" s="1592"/>
      <c r="J1404" s="1598"/>
      <c r="N1404" s="1493"/>
    </row>
    <row r="1405" spans="2:14" x14ac:dyDescent="0.2">
      <c r="B1405" s="1593"/>
      <c r="C1405" s="1592"/>
      <c r="J1405" s="1598"/>
      <c r="N1405" s="1493"/>
    </row>
    <row r="1406" spans="2:14" x14ac:dyDescent="0.2">
      <c r="B1406" s="1593"/>
      <c r="C1406" s="1592"/>
      <c r="J1406" s="1598"/>
      <c r="N1406" s="1493"/>
    </row>
    <row r="1407" spans="2:14" x14ac:dyDescent="0.2">
      <c r="B1407" s="1593"/>
      <c r="C1407" s="1592"/>
      <c r="J1407" s="1598"/>
      <c r="N1407" s="1493"/>
    </row>
    <row r="1408" spans="2:14" x14ac:dyDescent="0.2">
      <c r="B1408" s="1593"/>
      <c r="C1408" s="1592"/>
      <c r="J1408" s="1598"/>
      <c r="N1408" s="1493"/>
    </row>
    <row r="1409" spans="2:14" x14ac:dyDescent="0.2">
      <c r="B1409" s="1593"/>
      <c r="C1409" s="1592"/>
      <c r="J1409" s="1598"/>
      <c r="N1409" s="1493"/>
    </row>
    <row r="1410" spans="2:14" x14ac:dyDescent="0.2">
      <c r="B1410" s="1593"/>
      <c r="C1410" s="1592"/>
      <c r="J1410" s="1598"/>
      <c r="N1410" s="1493"/>
    </row>
    <row r="1411" spans="2:14" x14ac:dyDescent="0.2">
      <c r="B1411" s="1593"/>
      <c r="C1411" s="1592"/>
      <c r="J1411" s="1598"/>
      <c r="N1411" s="1493"/>
    </row>
    <row r="1412" spans="2:14" x14ac:dyDescent="0.2">
      <c r="B1412" s="1593"/>
      <c r="C1412" s="1592"/>
      <c r="J1412" s="1598"/>
      <c r="N1412" s="1493"/>
    </row>
    <row r="1413" spans="2:14" x14ac:dyDescent="0.2">
      <c r="B1413" s="1593"/>
      <c r="C1413" s="1592"/>
      <c r="J1413" s="1598"/>
      <c r="N1413" s="1493"/>
    </row>
    <row r="1414" spans="2:14" x14ac:dyDescent="0.2">
      <c r="B1414" s="1593"/>
      <c r="C1414" s="1592"/>
      <c r="J1414" s="1598"/>
      <c r="N1414" s="1493"/>
    </row>
    <row r="1415" spans="2:14" x14ac:dyDescent="0.2">
      <c r="B1415" s="1593"/>
      <c r="C1415" s="1592"/>
      <c r="J1415" s="1598"/>
      <c r="N1415" s="1493"/>
    </row>
    <row r="1416" spans="2:14" x14ac:dyDescent="0.2">
      <c r="B1416" s="1593"/>
      <c r="C1416" s="1592"/>
      <c r="J1416" s="1598"/>
      <c r="N1416" s="1493"/>
    </row>
    <row r="1417" spans="2:14" x14ac:dyDescent="0.2">
      <c r="B1417" s="1593"/>
      <c r="C1417" s="1592"/>
      <c r="J1417" s="1598"/>
      <c r="N1417" s="1493"/>
    </row>
    <row r="1418" spans="2:14" x14ac:dyDescent="0.2">
      <c r="B1418" s="1593"/>
      <c r="C1418" s="1592"/>
      <c r="J1418" s="1598"/>
      <c r="N1418" s="1493"/>
    </row>
    <row r="1419" spans="2:14" x14ac:dyDescent="0.2">
      <c r="B1419" s="1593"/>
      <c r="C1419" s="1592"/>
      <c r="J1419" s="1598"/>
      <c r="N1419" s="1493"/>
    </row>
    <row r="1420" spans="2:14" x14ac:dyDescent="0.2">
      <c r="B1420" s="1593"/>
      <c r="C1420" s="1592"/>
      <c r="J1420" s="1598"/>
      <c r="N1420" s="1493"/>
    </row>
    <row r="1421" spans="2:14" x14ac:dyDescent="0.2">
      <c r="B1421" s="1593"/>
      <c r="C1421" s="1592"/>
      <c r="J1421" s="1598"/>
      <c r="N1421" s="1493"/>
    </row>
    <row r="1422" spans="2:14" x14ac:dyDescent="0.2">
      <c r="B1422" s="1593"/>
      <c r="C1422" s="1592"/>
      <c r="J1422" s="1598"/>
      <c r="N1422" s="1493"/>
    </row>
    <row r="1423" spans="2:14" x14ac:dyDescent="0.2">
      <c r="B1423" s="1593"/>
      <c r="C1423" s="1592"/>
      <c r="J1423" s="1598"/>
      <c r="N1423" s="1493"/>
    </row>
    <row r="1424" spans="2:14" x14ac:dyDescent="0.2">
      <c r="B1424" s="1593"/>
      <c r="C1424" s="1592"/>
      <c r="J1424" s="1598"/>
      <c r="N1424" s="1493"/>
    </row>
    <row r="1425" spans="2:14" x14ac:dyDescent="0.2">
      <c r="B1425" s="1593"/>
      <c r="C1425" s="1592"/>
      <c r="J1425" s="1598"/>
      <c r="N1425" s="1493"/>
    </row>
    <row r="1426" spans="2:14" x14ac:dyDescent="0.2">
      <c r="B1426" s="1593"/>
      <c r="C1426" s="1592"/>
      <c r="J1426" s="1598"/>
      <c r="N1426" s="1493"/>
    </row>
    <row r="1427" spans="2:14" x14ac:dyDescent="0.2">
      <c r="B1427" s="1593"/>
      <c r="C1427" s="1592"/>
      <c r="J1427" s="1598"/>
      <c r="N1427" s="1493"/>
    </row>
    <row r="1428" spans="2:14" x14ac:dyDescent="0.2">
      <c r="B1428" s="1593"/>
      <c r="C1428" s="1592"/>
      <c r="J1428" s="1598"/>
      <c r="N1428" s="1493"/>
    </row>
    <row r="1429" spans="2:14" x14ac:dyDescent="0.2">
      <c r="B1429" s="1593"/>
      <c r="C1429" s="1592"/>
      <c r="J1429" s="1598"/>
      <c r="N1429" s="1493"/>
    </row>
    <row r="1430" spans="2:14" x14ac:dyDescent="0.2">
      <c r="B1430" s="1593"/>
      <c r="C1430" s="1592"/>
      <c r="J1430" s="1598"/>
      <c r="N1430" s="1493"/>
    </row>
    <row r="1431" spans="2:14" x14ac:dyDescent="0.2">
      <c r="B1431" s="1593"/>
      <c r="C1431" s="1592"/>
      <c r="J1431" s="1598"/>
      <c r="N1431" s="1493"/>
    </row>
    <row r="1432" spans="2:14" x14ac:dyDescent="0.2">
      <c r="B1432" s="1593"/>
      <c r="C1432" s="1592"/>
      <c r="J1432" s="1598"/>
      <c r="N1432" s="1493"/>
    </row>
    <row r="1433" spans="2:14" x14ac:dyDescent="0.2">
      <c r="B1433" s="1593"/>
      <c r="C1433" s="1592"/>
      <c r="J1433" s="1598"/>
      <c r="N1433" s="1493"/>
    </row>
    <row r="1434" spans="2:14" x14ac:dyDescent="0.2">
      <c r="B1434" s="1593"/>
      <c r="C1434" s="1592"/>
      <c r="J1434" s="1598"/>
      <c r="N1434" s="1493"/>
    </row>
    <row r="1435" spans="2:14" x14ac:dyDescent="0.2">
      <c r="B1435" s="1593"/>
      <c r="C1435" s="1592"/>
      <c r="J1435" s="1598"/>
      <c r="N1435" s="1493"/>
    </row>
    <row r="1436" spans="2:14" x14ac:dyDescent="0.2">
      <c r="B1436" s="1593"/>
      <c r="C1436" s="1592"/>
      <c r="J1436" s="1598"/>
      <c r="N1436" s="1493"/>
    </row>
    <row r="1437" spans="2:14" x14ac:dyDescent="0.2">
      <c r="B1437" s="1593"/>
      <c r="C1437" s="1592"/>
      <c r="J1437" s="1598"/>
      <c r="N1437" s="1493"/>
    </row>
    <row r="1438" spans="2:14" x14ac:dyDescent="0.2">
      <c r="B1438" s="1593"/>
      <c r="C1438" s="1592"/>
      <c r="J1438" s="1598"/>
      <c r="N1438" s="1493"/>
    </row>
    <row r="1439" spans="2:14" x14ac:dyDescent="0.2">
      <c r="B1439" s="1593"/>
      <c r="C1439" s="1592"/>
      <c r="J1439" s="1598"/>
      <c r="N1439" s="1493"/>
    </row>
    <row r="1440" spans="2:14" x14ac:dyDescent="0.2">
      <c r="B1440" s="1593"/>
      <c r="C1440" s="1592"/>
      <c r="J1440" s="1598"/>
      <c r="N1440" s="1493"/>
    </row>
    <row r="1441" spans="2:14" x14ac:dyDescent="0.2">
      <c r="B1441" s="1593"/>
      <c r="C1441" s="1592"/>
      <c r="J1441" s="1598"/>
      <c r="N1441" s="1493"/>
    </row>
    <row r="1442" spans="2:14" x14ac:dyDescent="0.2">
      <c r="B1442" s="1593"/>
      <c r="C1442" s="1592"/>
      <c r="J1442" s="1598"/>
      <c r="N1442" s="1493"/>
    </row>
    <row r="1443" spans="2:14" x14ac:dyDescent="0.2">
      <c r="B1443" s="1593"/>
      <c r="C1443" s="1592"/>
      <c r="J1443" s="1598"/>
      <c r="N1443" s="1493"/>
    </row>
    <row r="1444" spans="2:14" x14ac:dyDescent="0.2">
      <c r="B1444" s="1593"/>
      <c r="C1444" s="1592"/>
      <c r="J1444" s="1598"/>
      <c r="N1444" s="1493"/>
    </row>
    <row r="1445" spans="2:14" x14ac:dyDescent="0.2">
      <c r="B1445" s="1593"/>
      <c r="C1445" s="1592"/>
      <c r="J1445" s="1598"/>
      <c r="N1445" s="1493"/>
    </row>
    <row r="1446" spans="2:14" x14ac:dyDescent="0.2">
      <c r="B1446" s="1593"/>
      <c r="C1446" s="1592"/>
      <c r="J1446" s="1598"/>
      <c r="N1446" s="1493"/>
    </row>
    <row r="1447" spans="2:14" x14ac:dyDescent="0.2">
      <c r="B1447" s="1593"/>
      <c r="C1447" s="1592"/>
      <c r="J1447" s="1598"/>
      <c r="N1447" s="1493"/>
    </row>
    <row r="1448" spans="2:14" x14ac:dyDescent="0.2">
      <c r="B1448" s="1593"/>
      <c r="C1448" s="1592"/>
      <c r="J1448" s="1598"/>
      <c r="N1448" s="1493"/>
    </row>
    <row r="1449" spans="2:14" x14ac:dyDescent="0.2">
      <c r="B1449" s="1593"/>
      <c r="C1449" s="1592"/>
      <c r="J1449" s="1598"/>
      <c r="N1449" s="1493"/>
    </row>
    <row r="1450" spans="2:14" x14ac:dyDescent="0.2">
      <c r="B1450" s="1593"/>
      <c r="C1450" s="1592"/>
      <c r="J1450" s="1598"/>
      <c r="N1450" s="1493"/>
    </row>
    <row r="1451" spans="2:14" x14ac:dyDescent="0.2">
      <c r="B1451" s="1593"/>
      <c r="C1451" s="1592"/>
      <c r="J1451" s="1598"/>
      <c r="N1451" s="1493"/>
    </row>
    <row r="1452" spans="2:14" x14ac:dyDescent="0.2">
      <c r="B1452" s="1593"/>
      <c r="C1452" s="1592"/>
      <c r="J1452" s="1598"/>
      <c r="N1452" s="1493"/>
    </row>
    <row r="1453" spans="2:14" x14ac:dyDescent="0.2">
      <c r="B1453" s="1593"/>
      <c r="C1453" s="1592"/>
      <c r="J1453" s="1598"/>
      <c r="N1453" s="1493"/>
    </row>
    <row r="1454" spans="2:14" x14ac:dyDescent="0.2">
      <c r="B1454" s="1593"/>
      <c r="C1454" s="1592"/>
      <c r="J1454" s="1598"/>
      <c r="N1454" s="1493"/>
    </row>
    <row r="1455" spans="2:14" x14ac:dyDescent="0.2">
      <c r="B1455" s="1593"/>
      <c r="C1455" s="1592"/>
      <c r="J1455" s="1598"/>
      <c r="N1455" s="1493"/>
    </row>
    <row r="1456" spans="2:14" x14ac:dyDescent="0.2">
      <c r="B1456" s="1593"/>
      <c r="C1456" s="1592"/>
      <c r="J1456" s="1598"/>
      <c r="N1456" s="1493"/>
    </row>
    <row r="1457" spans="2:14" x14ac:dyDescent="0.2">
      <c r="B1457" s="1593"/>
      <c r="C1457" s="1592"/>
      <c r="J1457" s="1598"/>
      <c r="N1457" s="1493"/>
    </row>
    <row r="1458" spans="2:14" x14ac:dyDescent="0.2">
      <c r="B1458" s="1593"/>
      <c r="C1458" s="1592"/>
      <c r="J1458" s="1598"/>
      <c r="N1458" s="1493"/>
    </row>
    <row r="1459" spans="2:14" x14ac:dyDescent="0.2">
      <c r="B1459" s="1593"/>
      <c r="C1459" s="1592"/>
      <c r="J1459" s="1598"/>
      <c r="N1459" s="1493"/>
    </row>
    <row r="1460" spans="2:14" x14ac:dyDescent="0.2">
      <c r="B1460" s="1593"/>
      <c r="C1460" s="1592"/>
      <c r="J1460" s="1598"/>
      <c r="N1460" s="1493"/>
    </row>
    <row r="1461" spans="2:14" x14ac:dyDescent="0.2">
      <c r="B1461" s="1593"/>
      <c r="C1461" s="1592"/>
      <c r="J1461" s="1598"/>
      <c r="N1461" s="1493"/>
    </row>
    <row r="1462" spans="2:14" x14ac:dyDescent="0.2">
      <c r="B1462" s="1593"/>
      <c r="C1462" s="1592"/>
      <c r="J1462" s="1598"/>
      <c r="N1462" s="1493"/>
    </row>
    <row r="1463" spans="2:14" x14ac:dyDescent="0.2">
      <c r="B1463" s="1593"/>
      <c r="C1463" s="1592"/>
      <c r="J1463" s="1598"/>
      <c r="N1463" s="1493"/>
    </row>
    <row r="1464" spans="2:14" x14ac:dyDescent="0.2">
      <c r="B1464" s="1593"/>
      <c r="C1464" s="1592"/>
      <c r="J1464" s="1598"/>
      <c r="N1464" s="1493"/>
    </row>
    <row r="1465" spans="2:14" x14ac:dyDescent="0.2">
      <c r="B1465" s="1593"/>
      <c r="C1465" s="1592"/>
      <c r="J1465" s="1598"/>
      <c r="N1465" s="1493"/>
    </row>
    <row r="1466" spans="2:14" x14ac:dyDescent="0.2">
      <c r="B1466" s="1593"/>
      <c r="C1466" s="1592"/>
      <c r="J1466" s="1598"/>
      <c r="N1466" s="1493"/>
    </row>
    <row r="1467" spans="2:14" x14ac:dyDescent="0.2">
      <c r="B1467" s="1593"/>
      <c r="C1467" s="1592"/>
      <c r="J1467" s="1598"/>
      <c r="N1467" s="1493"/>
    </row>
    <row r="1468" spans="2:14" x14ac:dyDescent="0.2">
      <c r="B1468" s="1593"/>
      <c r="C1468" s="1592"/>
      <c r="J1468" s="1598"/>
      <c r="N1468" s="1493"/>
    </row>
    <row r="1469" spans="2:14" x14ac:dyDescent="0.2">
      <c r="B1469" s="1593"/>
      <c r="C1469" s="1592"/>
      <c r="J1469" s="1598"/>
      <c r="N1469" s="1493"/>
    </row>
    <row r="1470" spans="2:14" x14ac:dyDescent="0.2">
      <c r="B1470" s="1593"/>
      <c r="C1470" s="1592"/>
      <c r="J1470" s="1598"/>
      <c r="N1470" s="1493"/>
    </row>
    <row r="1471" spans="2:14" x14ac:dyDescent="0.2">
      <c r="B1471" s="1593"/>
      <c r="C1471" s="1592"/>
      <c r="J1471" s="1598"/>
      <c r="N1471" s="1493"/>
    </row>
    <row r="1472" spans="2:14" x14ac:dyDescent="0.2">
      <c r="B1472" s="1593"/>
      <c r="C1472" s="1592"/>
      <c r="J1472" s="1598"/>
      <c r="N1472" s="1493"/>
    </row>
    <row r="1473" spans="2:14" x14ac:dyDescent="0.2">
      <c r="B1473" s="1593"/>
      <c r="C1473" s="1592"/>
      <c r="J1473" s="1598"/>
      <c r="N1473" s="1493"/>
    </row>
    <row r="1474" spans="2:14" x14ac:dyDescent="0.2">
      <c r="B1474" s="1593"/>
      <c r="C1474" s="1592"/>
      <c r="J1474" s="1598"/>
      <c r="N1474" s="1493"/>
    </row>
    <row r="1475" spans="2:14" x14ac:dyDescent="0.2">
      <c r="B1475" s="1593"/>
      <c r="C1475" s="1592"/>
      <c r="J1475" s="1598"/>
      <c r="N1475" s="1493"/>
    </row>
    <row r="1476" spans="2:14" x14ac:dyDescent="0.2">
      <c r="B1476" s="1593"/>
      <c r="C1476" s="1592"/>
      <c r="J1476" s="1598"/>
      <c r="N1476" s="1493"/>
    </row>
    <row r="1477" spans="2:14" x14ac:dyDescent="0.2">
      <c r="B1477" s="1593"/>
      <c r="C1477" s="1592"/>
      <c r="J1477" s="1598"/>
      <c r="N1477" s="1493"/>
    </row>
    <row r="1478" spans="2:14" x14ac:dyDescent="0.2">
      <c r="B1478" s="1593"/>
      <c r="C1478" s="1592"/>
      <c r="J1478" s="1598"/>
      <c r="N1478" s="1493"/>
    </row>
    <row r="1479" spans="2:14" x14ac:dyDescent="0.2">
      <c r="B1479" s="1593"/>
      <c r="C1479" s="1592"/>
      <c r="J1479" s="1598"/>
      <c r="N1479" s="1493"/>
    </row>
    <row r="1480" spans="2:14" x14ac:dyDescent="0.2">
      <c r="B1480" s="1593"/>
      <c r="C1480" s="1592"/>
      <c r="J1480" s="1598"/>
      <c r="N1480" s="1493"/>
    </row>
    <row r="1481" spans="2:14" x14ac:dyDescent="0.2">
      <c r="B1481" s="1593"/>
      <c r="C1481" s="1592"/>
      <c r="J1481" s="1598"/>
      <c r="N1481" s="1493"/>
    </row>
    <row r="1482" spans="2:14" x14ac:dyDescent="0.2">
      <c r="B1482" s="1593"/>
      <c r="C1482" s="1592"/>
      <c r="J1482" s="1598"/>
      <c r="N1482" s="1493"/>
    </row>
    <row r="1483" spans="2:14" x14ac:dyDescent="0.2">
      <c r="B1483" s="1593"/>
      <c r="C1483" s="1592"/>
      <c r="J1483" s="1598"/>
      <c r="N1483" s="1493"/>
    </row>
    <row r="1484" spans="2:14" x14ac:dyDescent="0.2">
      <c r="B1484" s="1593"/>
      <c r="C1484" s="1592"/>
      <c r="J1484" s="1598"/>
      <c r="N1484" s="1493"/>
    </row>
    <row r="1485" spans="2:14" x14ac:dyDescent="0.2">
      <c r="B1485" s="1593"/>
      <c r="C1485" s="1592"/>
      <c r="J1485" s="1598"/>
      <c r="N1485" s="1493"/>
    </row>
    <row r="1486" spans="2:14" x14ac:dyDescent="0.2">
      <c r="B1486" s="1593"/>
      <c r="C1486" s="1592"/>
      <c r="J1486" s="1598"/>
      <c r="N1486" s="1493"/>
    </row>
    <row r="1487" spans="2:14" x14ac:dyDescent="0.2">
      <c r="B1487" s="1593"/>
      <c r="C1487" s="1592"/>
      <c r="J1487" s="1598"/>
      <c r="N1487" s="1493"/>
    </row>
    <row r="1488" spans="2:14" x14ac:dyDescent="0.2">
      <c r="B1488" s="1593"/>
      <c r="C1488" s="1592"/>
      <c r="J1488" s="1598"/>
      <c r="N1488" s="1493"/>
    </row>
    <row r="1489" spans="2:14" x14ac:dyDescent="0.2">
      <c r="B1489" s="1593"/>
      <c r="C1489" s="1592"/>
      <c r="J1489" s="1598"/>
      <c r="N1489" s="1493"/>
    </row>
    <row r="1490" spans="2:14" x14ac:dyDescent="0.2">
      <c r="B1490" s="1593"/>
      <c r="C1490" s="1592"/>
      <c r="J1490" s="1598"/>
      <c r="N1490" s="1493"/>
    </row>
    <row r="1491" spans="2:14" x14ac:dyDescent="0.2">
      <c r="B1491" s="1593"/>
      <c r="C1491" s="1592"/>
      <c r="J1491" s="1598"/>
      <c r="N1491" s="1493"/>
    </row>
    <row r="1492" spans="2:14" x14ac:dyDescent="0.2">
      <c r="B1492" s="1593"/>
      <c r="C1492" s="1592"/>
      <c r="J1492" s="1598"/>
      <c r="N1492" s="1493"/>
    </row>
    <row r="1493" spans="2:14" x14ac:dyDescent="0.2">
      <c r="B1493" s="1593"/>
      <c r="C1493" s="1592"/>
      <c r="J1493" s="1598"/>
      <c r="N1493" s="1493"/>
    </row>
    <row r="1494" spans="2:14" x14ac:dyDescent="0.2">
      <c r="B1494" s="1593"/>
      <c r="C1494" s="1592"/>
      <c r="J1494" s="1598"/>
      <c r="N1494" s="1493"/>
    </row>
    <row r="1495" spans="2:14" x14ac:dyDescent="0.2">
      <c r="B1495" s="1593"/>
      <c r="C1495" s="1592"/>
      <c r="J1495" s="1598"/>
      <c r="N1495" s="1493"/>
    </row>
    <row r="1496" spans="2:14" x14ac:dyDescent="0.2">
      <c r="B1496" s="1593"/>
      <c r="C1496" s="1592"/>
      <c r="J1496" s="1598"/>
      <c r="N1496" s="1493"/>
    </row>
    <row r="1497" spans="2:14" x14ac:dyDescent="0.2">
      <c r="B1497" s="1593"/>
      <c r="C1497" s="1592"/>
      <c r="J1497" s="1598"/>
      <c r="N1497" s="1493"/>
    </row>
    <row r="1498" spans="2:14" x14ac:dyDescent="0.2">
      <c r="B1498" s="1593"/>
      <c r="C1498" s="1592"/>
      <c r="J1498" s="1598"/>
      <c r="N1498" s="1493"/>
    </row>
    <row r="1499" spans="2:14" x14ac:dyDescent="0.2">
      <c r="B1499" s="1593"/>
      <c r="C1499" s="1592"/>
      <c r="J1499" s="1598"/>
      <c r="N1499" s="1493"/>
    </row>
    <row r="1500" spans="2:14" x14ac:dyDescent="0.2">
      <c r="B1500" s="1593"/>
      <c r="C1500" s="1592"/>
      <c r="J1500" s="1598"/>
      <c r="N1500" s="1493"/>
    </row>
    <row r="1501" spans="2:14" x14ac:dyDescent="0.2">
      <c r="B1501" s="1593"/>
      <c r="C1501" s="1592"/>
      <c r="J1501" s="1598"/>
      <c r="N1501" s="1493"/>
    </row>
    <row r="1502" spans="2:14" x14ac:dyDescent="0.2">
      <c r="B1502" s="1593"/>
      <c r="C1502" s="1592"/>
      <c r="J1502" s="1598"/>
      <c r="N1502" s="1493"/>
    </row>
    <row r="1503" spans="2:14" x14ac:dyDescent="0.2">
      <c r="B1503" s="1593"/>
      <c r="C1503" s="1592"/>
      <c r="J1503" s="1598"/>
      <c r="N1503" s="1493"/>
    </row>
    <row r="1504" spans="2:14" x14ac:dyDescent="0.2">
      <c r="B1504" s="1593"/>
      <c r="C1504" s="1592"/>
      <c r="J1504" s="1598"/>
      <c r="N1504" s="1493"/>
    </row>
    <row r="1505" spans="2:14" x14ac:dyDescent="0.2">
      <c r="B1505" s="1593"/>
      <c r="C1505" s="1592"/>
      <c r="J1505" s="1598"/>
      <c r="N1505" s="1493"/>
    </row>
    <row r="1506" spans="2:14" x14ac:dyDescent="0.2">
      <c r="B1506" s="1593"/>
      <c r="C1506" s="1592"/>
      <c r="J1506" s="1598"/>
      <c r="N1506" s="1493"/>
    </row>
    <row r="1507" spans="2:14" x14ac:dyDescent="0.2">
      <c r="B1507" s="1593"/>
      <c r="C1507" s="1592"/>
      <c r="J1507" s="1598"/>
      <c r="N1507" s="1493"/>
    </row>
    <row r="1508" spans="2:14" x14ac:dyDescent="0.2">
      <c r="B1508" s="1593"/>
      <c r="C1508" s="1592"/>
      <c r="J1508" s="1598"/>
      <c r="N1508" s="1493"/>
    </row>
    <row r="1509" spans="2:14" x14ac:dyDescent="0.2">
      <c r="B1509" s="1593"/>
      <c r="C1509" s="1592"/>
      <c r="J1509" s="1598"/>
      <c r="N1509" s="1493"/>
    </row>
    <row r="1510" spans="2:14" x14ac:dyDescent="0.2">
      <c r="B1510" s="1593"/>
      <c r="C1510" s="1592"/>
      <c r="J1510" s="1598"/>
      <c r="N1510" s="1493"/>
    </row>
    <row r="1511" spans="2:14" x14ac:dyDescent="0.2">
      <c r="B1511" s="1593"/>
      <c r="C1511" s="1592"/>
      <c r="J1511" s="1598"/>
      <c r="N1511" s="1493"/>
    </row>
    <row r="1512" spans="2:14" x14ac:dyDescent="0.2">
      <c r="B1512" s="1593"/>
      <c r="C1512" s="1592"/>
      <c r="J1512" s="1598"/>
      <c r="N1512" s="1493"/>
    </row>
    <row r="1513" spans="2:14" x14ac:dyDescent="0.2">
      <c r="B1513" s="1593"/>
      <c r="C1513" s="1592"/>
      <c r="J1513" s="1598"/>
      <c r="N1513" s="1493"/>
    </row>
    <row r="1514" spans="2:14" x14ac:dyDescent="0.2">
      <c r="B1514" s="1593"/>
      <c r="C1514" s="1592"/>
      <c r="J1514" s="1598"/>
      <c r="N1514" s="1493"/>
    </row>
    <row r="1515" spans="2:14" x14ac:dyDescent="0.2">
      <c r="B1515" s="1593"/>
      <c r="C1515" s="1592"/>
      <c r="J1515" s="1598"/>
      <c r="N1515" s="1493"/>
    </row>
    <row r="1516" spans="2:14" x14ac:dyDescent="0.2">
      <c r="B1516" s="1593"/>
      <c r="C1516" s="1592"/>
      <c r="J1516" s="1598"/>
      <c r="N1516" s="1493"/>
    </row>
    <row r="1517" spans="2:14" x14ac:dyDescent="0.2">
      <c r="B1517" s="1593"/>
      <c r="C1517" s="1592"/>
      <c r="J1517" s="1598"/>
      <c r="N1517" s="1493"/>
    </row>
    <row r="1518" spans="2:14" x14ac:dyDescent="0.2">
      <c r="B1518" s="1593"/>
      <c r="C1518" s="1592"/>
      <c r="J1518" s="1598"/>
      <c r="N1518" s="1493"/>
    </row>
    <row r="1519" spans="2:14" x14ac:dyDescent="0.2">
      <c r="B1519" s="1593"/>
      <c r="C1519" s="1592"/>
      <c r="J1519" s="1598"/>
      <c r="N1519" s="1493"/>
    </row>
    <row r="1520" spans="2:14" x14ac:dyDescent="0.2">
      <c r="B1520" s="1593"/>
      <c r="C1520" s="1592"/>
      <c r="J1520" s="1598"/>
      <c r="N1520" s="1493"/>
    </row>
    <row r="1521" spans="2:14" x14ac:dyDescent="0.2">
      <c r="B1521" s="1593"/>
      <c r="C1521" s="1592"/>
      <c r="J1521" s="1598"/>
      <c r="N1521" s="1493"/>
    </row>
    <row r="1522" spans="2:14" x14ac:dyDescent="0.2">
      <c r="B1522" s="1593"/>
      <c r="C1522" s="1592"/>
      <c r="J1522" s="1598"/>
      <c r="N1522" s="1493"/>
    </row>
    <row r="1523" spans="2:14" x14ac:dyDescent="0.2">
      <c r="B1523" s="1593"/>
      <c r="C1523" s="1592"/>
      <c r="J1523" s="1598"/>
      <c r="N1523" s="1493"/>
    </row>
    <row r="1524" spans="2:14" x14ac:dyDescent="0.2">
      <c r="B1524" s="1593"/>
      <c r="C1524" s="1592"/>
      <c r="J1524" s="1598"/>
      <c r="N1524" s="1493"/>
    </row>
    <row r="1525" spans="2:14" x14ac:dyDescent="0.2">
      <c r="B1525" s="1593"/>
      <c r="C1525" s="1592"/>
      <c r="J1525" s="1598"/>
      <c r="N1525" s="1493"/>
    </row>
    <row r="1526" spans="2:14" x14ac:dyDescent="0.2">
      <c r="B1526" s="1593"/>
      <c r="C1526" s="1592"/>
      <c r="J1526" s="1598"/>
      <c r="N1526" s="1493"/>
    </row>
    <row r="1527" spans="2:14" x14ac:dyDescent="0.2">
      <c r="B1527" s="1593"/>
      <c r="C1527" s="1592"/>
      <c r="J1527" s="1598"/>
      <c r="N1527" s="1493"/>
    </row>
    <row r="1528" spans="2:14" x14ac:dyDescent="0.2">
      <c r="B1528" s="1593"/>
      <c r="C1528" s="1592"/>
      <c r="J1528" s="1598"/>
      <c r="N1528" s="1493"/>
    </row>
    <row r="1529" spans="2:14" x14ac:dyDescent="0.2">
      <c r="B1529" s="1593"/>
      <c r="C1529" s="1592"/>
      <c r="J1529" s="1598"/>
      <c r="N1529" s="1493"/>
    </row>
    <row r="1530" spans="2:14" x14ac:dyDescent="0.2">
      <c r="B1530" s="1593"/>
      <c r="C1530" s="1592"/>
      <c r="J1530" s="1598"/>
      <c r="N1530" s="1493"/>
    </row>
    <row r="1531" spans="2:14" x14ac:dyDescent="0.2">
      <c r="B1531" s="1593"/>
      <c r="C1531" s="1592"/>
      <c r="J1531" s="1598"/>
      <c r="N1531" s="1493"/>
    </row>
    <row r="1532" spans="2:14" x14ac:dyDescent="0.2">
      <c r="B1532" s="1593"/>
      <c r="C1532" s="1592"/>
      <c r="J1532" s="1598"/>
      <c r="N1532" s="1493"/>
    </row>
    <row r="1533" spans="2:14" x14ac:dyDescent="0.2">
      <c r="B1533" s="1593"/>
      <c r="C1533" s="1592"/>
      <c r="J1533" s="1598"/>
      <c r="N1533" s="1493"/>
    </row>
    <row r="1534" spans="2:14" x14ac:dyDescent="0.2">
      <c r="B1534" s="1593"/>
      <c r="C1534" s="1592"/>
      <c r="J1534" s="1598"/>
      <c r="N1534" s="1493"/>
    </row>
    <row r="1535" spans="2:14" x14ac:dyDescent="0.2">
      <c r="B1535" s="1593"/>
      <c r="C1535" s="1592"/>
      <c r="J1535" s="1598"/>
      <c r="N1535" s="1493"/>
    </row>
    <row r="1536" spans="2:14" x14ac:dyDescent="0.2">
      <c r="B1536" s="1593"/>
      <c r="C1536" s="1592"/>
      <c r="J1536" s="1598"/>
      <c r="N1536" s="1493"/>
    </row>
    <row r="1537" spans="2:14" x14ac:dyDescent="0.2">
      <c r="B1537" s="1593"/>
      <c r="C1537" s="1592"/>
      <c r="J1537" s="1598"/>
      <c r="N1537" s="1493"/>
    </row>
    <row r="1538" spans="2:14" x14ac:dyDescent="0.2">
      <c r="B1538" s="1593"/>
      <c r="C1538" s="1592"/>
      <c r="J1538" s="1598"/>
      <c r="N1538" s="1493"/>
    </row>
    <row r="1539" spans="2:14" x14ac:dyDescent="0.2">
      <c r="B1539" s="1593"/>
      <c r="C1539" s="1592"/>
      <c r="J1539" s="1598"/>
      <c r="N1539" s="1493"/>
    </row>
    <row r="1540" spans="2:14" x14ac:dyDescent="0.2">
      <c r="B1540" s="1593"/>
      <c r="C1540" s="1592"/>
      <c r="J1540" s="1598"/>
      <c r="N1540" s="1493"/>
    </row>
    <row r="1541" spans="2:14" x14ac:dyDescent="0.2">
      <c r="B1541" s="1593"/>
      <c r="C1541" s="1592"/>
      <c r="J1541" s="1598"/>
      <c r="N1541" s="1493"/>
    </row>
    <row r="1542" spans="2:14" x14ac:dyDescent="0.2">
      <c r="B1542" s="1593"/>
      <c r="C1542" s="1592"/>
      <c r="J1542" s="1598"/>
      <c r="N1542" s="1493"/>
    </row>
    <row r="1543" spans="2:14" x14ac:dyDescent="0.2">
      <c r="B1543" s="1593"/>
      <c r="C1543" s="1592"/>
      <c r="J1543" s="1598"/>
      <c r="N1543" s="1493"/>
    </row>
    <row r="1544" spans="2:14" x14ac:dyDescent="0.2">
      <c r="B1544" s="1593"/>
      <c r="C1544" s="1592"/>
      <c r="J1544" s="1598"/>
      <c r="N1544" s="1493"/>
    </row>
    <row r="1545" spans="2:14" x14ac:dyDescent="0.2">
      <c r="B1545" s="1593"/>
      <c r="C1545" s="1592"/>
      <c r="J1545" s="1598"/>
      <c r="N1545" s="1493"/>
    </row>
    <row r="1546" spans="2:14" x14ac:dyDescent="0.2">
      <c r="B1546" s="1593"/>
      <c r="C1546" s="1592"/>
      <c r="J1546" s="1598"/>
      <c r="N1546" s="1493"/>
    </row>
    <row r="1547" spans="2:14" x14ac:dyDescent="0.2">
      <c r="B1547" s="1593"/>
      <c r="C1547" s="1592"/>
      <c r="J1547" s="1598"/>
      <c r="N1547" s="1493"/>
    </row>
    <row r="1548" spans="2:14" x14ac:dyDescent="0.2">
      <c r="B1548" s="1593"/>
      <c r="C1548" s="1592"/>
      <c r="J1548" s="1598"/>
      <c r="N1548" s="1493"/>
    </row>
    <row r="1549" spans="2:14" x14ac:dyDescent="0.2">
      <c r="B1549" s="1593"/>
      <c r="C1549" s="1592"/>
      <c r="J1549" s="1598"/>
      <c r="N1549" s="1493"/>
    </row>
    <row r="1550" spans="2:14" x14ac:dyDescent="0.2">
      <c r="B1550" s="1593"/>
      <c r="C1550" s="1592"/>
      <c r="J1550" s="1598"/>
      <c r="N1550" s="1493"/>
    </row>
    <row r="1551" spans="2:14" x14ac:dyDescent="0.2">
      <c r="B1551" s="1593"/>
      <c r="C1551" s="1592"/>
      <c r="J1551" s="1598"/>
      <c r="N1551" s="1493"/>
    </row>
    <row r="1552" spans="2:14" x14ac:dyDescent="0.2">
      <c r="B1552" s="1593"/>
      <c r="C1552" s="1592"/>
      <c r="J1552" s="1598"/>
      <c r="N1552" s="1493"/>
    </row>
    <row r="1553" spans="2:14" x14ac:dyDescent="0.2">
      <c r="B1553" s="1593"/>
      <c r="C1553" s="1592"/>
      <c r="J1553" s="1598"/>
      <c r="N1553" s="1493"/>
    </row>
    <row r="1554" spans="2:14" x14ac:dyDescent="0.2">
      <c r="B1554" s="1593"/>
      <c r="C1554" s="1592"/>
      <c r="J1554" s="1598"/>
      <c r="N1554" s="1493"/>
    </row>
    <row r="1555" spans="2:14" x14ac:dyDescent="0.2">
      <c r="B1555" s="1593"/>
      <c r="C1555" s="1592"/>
      <c r="J1555" s="1598"/>
      <c r="N1555" s="1493"/>
    </row>
    <row r="1556" spans="2:14" x14ac:dyDescent="0.2">
      <c r="B1556" s="1593"/>
      <c r="C1556" s="1592"/>
      <c r="J1556" s="1598"/>
      <c r="N1556" s="1493"/>
    </row>
    <row r="1557" spans="2:14" x14ac:dyDescent="0.2">
      <c r="B1557" s="1593"/>
      <c r="C1557" s="1592"/>
      <c r="J1557" s="1598"/>
      <c r="N1557" s="1493"/>
    </row>
    <row r="1558" spans="2:14" x14ac:dyDescent="0.2">
      <c r="B1558" s="1593"/>
      <c r="C1558" s="1592"/>
      <c r="J1558" s="1598"/>
      <c r="N1558" s="1493"/>
    </row>
    <row r="1559" spans="2:14" x14ac:dyDescent="0.2">
      <c r="B1559" s="1593"/>
      <c r="C1559" s="1592"/>
      <c r="J1559" s="1598"/>
      <c r="N1559" s="1493"/>
    </row>
    <row r="1560" spans="2:14" x14ac:dyDescent="0.2">
      <c r="B1560" s="1593"/>
      <c r="C1560" s="1592"/>
      <c r="J1560" s="1598"/>
      <c r="N1560" s="1493"/>
    </row>
    <row r="1561" spans="2:14" x14ac:dyDescent="0.2">
      <c r="B1561" s="1593"/>
      <c r="C1561" s="1592"/>
      <c r="J1561" s="1598"/>
      <c r="N1561" s="1493"/>
    </row>
    <row r="1562" spans="2:14" x14ac:dyDescent="0.2">
      <c r="B1562" s="1593"/>
      <c r="C1562" s="1592"/>
      <c r="J1562" s="1598"/>
      <c r="N1562" s="1493"/>
    </row>
    <row r="1563" spans="2:14" x14ac:dyDescent="0.2">
      <c r="B1563" s="1593"/>
      <c r="C1563" s="1592"/>
      <c r="J1563" s="1598"/>
      <c r="N1563" s="1493"/>
    </row>
    <row r="1564" spans="2:14" x14ac:dyDescent="0.2">
      <c r="B1564" s="1593"/>
      <c r="C1564" s="1592"/>
      <c r="J1564" s="1598"/>
      <c r="N1564" s="1493"/>
    </row>
    <row r="1565" spans="2:14" x14ac:dyDescent="0.2">
      <c r="B1565" s="1593"/>
      <c r="C1565" s="1592"/>
      <c r="J1565" s="1598"/>
      <c r="N1565" s="1493"/>
    </row>
    <row r="1566" spans="2:14" x14ac:dyDescent="0.2">
      <c r="B1566" s="1593"/>
      <c r="C1566" s="1592"/>
      <c r="J1566" s="1598"/>
      <c r="N1566" s="1493"/>
    </row>
    <row r="1567" spans="2:14" x14ac:dyDescent="0.2">
      <c r="B1567" s="1593"/>
      <c r="C1567" s="1592"/>
      <c r="J1567" s="1598"/>
      <c r="N1567" s="1493"/>
    </row>
    <row r="1568" spans="2:14" x14ac:dyDescent="0.2">
      <c r="B1568" s="1593"/>
      <c r="C1568" s="1592"/>
      <c r="J1568" s="1598"/>
      <c r="N1568" s="1493"/>
    </row>
    <row r="1569" spans="2:14" x14ac:dyDescent="0.2">
      <c r="B1569" s="1593"/>
      <c r="C1569" s="1592"/>
      <c r="J1569" s="1598"/>
      <c r="N1569" s="1493"/>
    </row>
    <row r="1570" spans="2:14" x14ac:dyDescent="0.2">
      <c r="B1570" s="1593"/>
      <c r="C1570" s="1592"/>
      <c r="J1570" s="1598"/>
      <c r="N1570" s="1493"/>
    </row>
    <row r="1571" spans="2:14" x14ac:dyDescent="0.2">
      <c r="B1571" s="1593"/>
      <c r="C1571" s="1592"/>
      <c r="J1571" s="1598"/>
      <c r="N1571" s="1493"/>
    </row>
    <row r="1572" spans="2:14" x14ac:dyDescent="0.2">
      <c r="B1572" s="1593"/>
      <c r="C1572" s="1592"/>
      <c r="J1572" s="1598"/>
      <c r="N1572" s="1493"/>
    </row>
    <row r="1573" spans="2:14" x14ac:dyDescent="0.2">
      <c r="B1573" s="1593"/>
      <c r="C1573" s="1592"/>
      <c r="J1573" s="1598"/>
      <c r="N1573" s="1493"/>
    </row>
    <row r="1574" spans="2:14" x14ac:dyDescent="0.2">
      <c r="B1574" s="1593"/>
      <c r="C1574" s="1592"/>
      <c r="J1574" s="1598"/>
      <c r="N1574" s="1493"/>
    </row>
    <row r="1575" spans="2:14" x14ac:dyDescent="0.2">
      <c r="B1575" s="1593"/>
      <c r="C1575" s="1592"/>
      <c r="J1575" s="1598"/>
      <c r="N1575" s="1493"/>
    </row>
    <row r="1576" spans="2:14" x14ac:dyDescent="0.2">
      <c r="B1576" s="1593"/>
      <c r="C1576" s="1592"/>
      <c r="J1576" s="1598"/>
      <c r="N1576" s="1493"/>
    </row>
    <row r="1577" spans="2:14" x14ac:dyDescent="0.2">
      <c r="B1577" s="1593"/>
      <c r="C1577" s="1592"/>
      <c r="J1577" s="1598"/>
      <c r="N1577" s="1493"/>
    </row>
    <row r="1578" spans="2:14" x14ac:dyDescent="0.2">
      <c r="B1578" s="1593"/>
      <c r="C1578" s="1592"/>
      <c r="J1578" s="1598"/>
      <c r="N1578" s="1493"/>
    </row>
    <row r="1579" spans="2:14" x14ac:dyDescent="0.2">
      <c r="B1579" s="1593"/>
      <c r="C1579" s="1592"/>
      <c r="J1579" s="1598"/>
      <c r="N1579" s="1493"/>
    </row>
    <row r="1580" spans="2:14" x14ac:dyDescent="0.2">
      <c r="B1580" s="1593"/>
      <c r="C1580" s="1592"/>
      <c r="J1580" s="1598"/>
      <c r="N1580" s="1493"/>
    </row>
    <row r="1581" spans="2:14" x14ac:dyDescent="0.2">
      <c r="B1581" s="1593"/>
      <c r="C1581" s="1592"/>
      <c r="J1581" s="1598"/>
      <c r="N1581" s="1493"/>
    </row>
    <row r="1582" spans="2:14" x14ac:dyDescent="0.2">
      <c r="B1582" s="1593"/>
      <c r="C1582" s="1592"/>
      <c r="J1582" s="1598"/>
      <c r="N1582" s="1493"/>
    </row>
    <row r="1583" spans="2:14" x14ac:dyDescent="0.2">
      <c r="B1583" s="1593"/>
      <c r="C1583" s="1592"/>
      <c r="J1583" s="1598"/>
      <c r="N1583" s="1493"/>
    </row>
    <row r="1584" spans="2:14" x14ac:dyDescent="0.2">
      <c r="B1584" s="1593"/>
      <c r="C1584" s="1592"/>
      <c r="J1584" s="1598"/>
      <c r="N1584" s="1493"/>
    </row>
    <row r="1585" spans="2:14" x14ac:dyDescent="0.2">
      <c r="B1585" s="1593"/>
      <c r="C1585" s="1592"/>
      <c r="J1585" s="1598"/>
      <c r="N1585" s="1493"/>
    </row>
    <row r="1586" spans="2:14" x14ac:dyDescent="0.2">
      <c r="B1586" s="1593"/>
      <c r="C1586" s="1592"/>
      <c r="J1586" s="1598"/>
      <c r="N1586" s="1493"/>
    </row>
    <row r="1587" spans="2:14" x14ac:dyDescent="0.2">
      <c r="B1587" s="1593"/>
      <c r="C1587" s="1592"/>
      <c r="J1587" s="1598"/>
      <c r="N1587" s="1493"/>
    </row>
    <row r="1588" spans="2:14" x14ac:dyDescent="0.2">
      <c r="B1588" s="1593"/>
      <c r="C1588" s="1592"/>
      <c r="J1588" s="1598"/>
      <c r="N1588" s="1493"/>
    </row>
    <row r="1589" spans="2:14" x14ac:dyDescent="0.2">
      <c r="B1589" s="1593"/>
      <c r="C1589" s="1592"/>
      <c r="J1589" s="1598"/>
      <c r="N1589" s="1493"/>
    </row>
    <row r="1590" spans="2:14" x14ac:dyDescent="0.2">
      <c r="B1590" s="1593"/>
      <c r="C1590" s="1592"/>
      <c r="J1590" s="1598"/>
      <c r="N1590" s="1493"/>
    </row>
    <row r="1591" spans="2:14" x14ac:dyDescent="0.2">
      <c r="B1591" s="1593"/>
      <c r="C1591" s="1592"/>
      <c r="J1591" s="1598"/>
      <c r="N1591" s="1493"/>
    </row>
    <row r="1592" spans="2:14" x14ac:dyDescent="0.2">
      <c r="B1592" s="1593"/>
      <c r="C1592" s="1592"/>
      <c r="J1592" s="1598"/>
      <c r="N1592" s="1493"/>
    </row>
    <row r="1593" spans="2:14" x14ac:dyDescent="0.2">
      <c r="B1593" s="1593"/>
      <c r="C1593" s="1592"/>
      <c r="J1593" s="1598"/>
      <c r="N1593" s="1493"/>
    </row>
    <row r="1594" spans="2:14" x14ac:dyDescent="0.2">
      <c r="B1594" s="1593"/>
      <c r="C1594" s="1592"/>
      <c r="J1594" s="1598"/>
      <c r="N1594" s="1493"/>
    </row>
    <row r="1595" spans="2:14" x14ac:dyDescent="0.2">
      <c r="B1595" s="1593"/>
      <c r="C1595" s="1592"/>
      <c r="J1595" s="1598"/>
      <c r="N1595" s="1493"/>
    </row>
    <row r="1596" spans="2:14" x14ac:dyDescent="0.2">
      <c r="B1596" s="1593"/>
      <c r="C1596" s="1592"/>
      <c r="J1596" s="1598"/>
      <c r="N1596" s="1493"/>
    </row>
    <row r="1597" spans="2:14" x14ac:dyDescent="0.2">
      <c r="B1597" s="1593"/>
      <c r="C1597" s="1592"/>
      <c r="J1597" s="1598"/>
      <c r="N1597" s="1493"/>
    </row>
    <row r="1598" spans="2:14" x14ac:dyDescent="0.2">
      <c r="B1598" s="1593"/>
      <c r="C1598" s="1592"/>
      <c r="J1598" s="1598"/>
      <c r="N1598" s="1493"/>
    </row>
    <row r="1599" spans="2:14" x14ac:dyDescent="0.2">
      <c r="B1599" s="1593"/>
      <c r="C1599" s="1592"/>
      <c r="J1599" s="1598"/>
      <c r="N1599" s="1493"/>
    </row>
    <row r="1600" spans="2:14" x14ac:dyDescent="0.2">
      <c r="B1600" s="1593"/>
      <c r="C1600" s="1592"/>
      <c r="J1600" s="1598"/>
      <c r="N1600" s="1493"/>
    </row>
    <row r="1601" spans="2:14" x14ac:dyDescent="0.2">
      <c r="B1601" s="1593"/>
      <c r="C1601" s="1592"/>
      <c r="J1601" s="1598"/>
      <c r="N1601" s="1493"/>
    </row>
    <row r="1602" spans="2:14" x14ac:dyDescent="0.2">
      <c r="B1602" s="1593"/>
      <c r="C1602" s="1592"/>
      <c r="J1602" s="1598"/>
      <c r="N1602" s="1493"/>
    </row>
    <row r="1603" spans="2:14" x14ac:dyDescent="0.2">
      <c r="B1603" s="1593"/>
      <c r="C1603" s="1592"/>
      <c r="J1603" s="1598"/>
      <c r="N1603" s="1493"/>
    </row>
    <row r="1604" spans="2:14" x14ac:dyDescent="0.2">
      <c r="B1604" s="1593"/>
      <c r="C1604" s="1592"/>
      <c r="J1604" s="1598"/>
      <c r="N1604" s="1493"/>
    </row>
    <row r="1605" spans="2:14" x14ac:dyDescent="0.2">
      <c r="B1605" s="1593"/>
      <c r="C1605" s="1592"/>
      <c r="J1605" s="1598"/>
      <c r="N1605" s="1493"/>
    </row>
    <row r="1606" spans="2:14" x14ac:dyDescent="0.2">
      <c r="B1606" s="1593"/>
      <c r="C1606" s="1592"/>
      <c r="J1606" s="1598"/>
      <c r="N1606" s="1493"/>
    </row>
    <row r="1607" spans="2:14" x14ac:dyDescent="0.2">
      <c r="B1607" s="1593"/>
      <c r="C1607" s="1592"/>
      <c r="J1607" s="1598"/>
      <c r="N1607" s="1493"/>
    </row>
    <row r="1608" spans="2:14" x14ac:dyDescent="0.2">
      <c r="B1608" s="1593"/>
      <c r="C1608" s="1592"/>
      <c r="J1608" s="1598"/>
      <c r="N1608" s="1493"/>
    </row>
    <row r="1609" spans="2:14" x14ac:dyDescent="0.2">
      <c r="B1609" s="1593"/>
      <c r="C1609" s="1592"/>
      <c r="J1609" s="1598"/>
      <c r="N1609" s="1493"/>
    </row>
    <row r="1610" spans="2:14" x14ac:dyDescent="0.2">
      <c r="B1610" s="1593"/>
      <c r="C1610" s="1592"/>
      <c r="J1610" s="1598"/>
      <c r="N1610" s="1493"/>
    </row>
    <row r="1611" spans="2:14" x14ac:dyDescent="0.2">
      <c r="B1611" s="1593"/>
      <c r="C1611" s="1592"/>
      <c r="J1611" s="1598"/>
      <c r="N1611" s="1493"/>
    </row>
    <row r="1612" spans="2:14" x14ac:dyDescent="0.2">
      <c r="B1612" s="1593"/>
      <c r="C1612" s="1592"/>
      <c r="J1612" s="1598"/>
      <c r="N1612" s="1493"/>
    </row>
    <row r="1613" spans="2:14" x14ac:dyDescent="0.2">
      <c r="B1613" s="1593"/>
      <c r="C1613" s="1592"/>
      <c r="J1613" s="1598"/>
      <c r="N1613" s="1493"/>
    </row>
    <row r="1614" spans="2:14" x14ac:dyDescent="0.2">
      <c r="B1614" s="1593"/>
      <c r="C1614" s="1592"/>
      <c r="J1614" s="1598"/>
      <c r="N1614" s="1493"/>
    </row>
    <row r="1615" spans="2:14" x14ac:dyDescent="0.2">
      <c r="B1615" s="1593"/>
      <c r="C1615" s="1592"/>
      <c r="J1615" s="1598"/>
      <c r="N1615" s="1493"/>
    </row>
    <row r="1616" spans="2:14" x14ac:dyDescent="0.2">
      <c r="B1616" s="1593"/>
      <c r="C1616" s="1592"/>
      <c r="J1616" s="1598"/>
      <c r="N1616" s="1493"/>
    </row>
    <row r="1617" spans="2:14" x14ac:dyDescent="0.2">
      <c r="B1617" s="1593"/>
      <c r="C1617" s="1592"/>
      <c r="J1617" s="1598"/>
      <c r="N1617" s="1493"/>
    </row>
    <row r="1618" spans="2:14" x14ac:dyDescent="0.2">
      <c r="B1618" s="1593"/>
      <c r="C1618" s="1592"/>
      <c r="J1618" s="1598"/>
      <c r="N1618" s="1493"/>
    </row>
    <row r="1619" spans="2:14" x14ac:dyDescent="0.2">
      <c r="B1619" s="1593"/>
      <c r="C1619" s="1592"/>
      <c r="J1619" s="1598"/>
      <c r="N1619" s="1493"/>
    </row>
    <row r="1620" spans="2:14" x14ac:dyDescent="0.2">
      <c r="B1620" s="1593"/>
      <c r="C1620" s="1592"/>
      <c r="J1620" s="1598"/>
      <c r="N1620" s="1493"/>
    </row>
    <row r="1621" spans="2:14" x14ac:dyDescent="0.2">
      <c r="B1621" s="1593"/>
      <c r="C1621" s="1592"/>
      <c r="J1621" s="1598"/>
      <c r="N1621" s="1493"/>
    </row>
    <row r="1622" spans="2:14" x14ac:dyDescent="0.2">
      <c r="B1622" s="1593"/>
      <c r="C1622" s="1592"/>
      <c r="J1622" s="1598"/>
      <c r="N1622" s="1493"/>
    </row>
    <row r="1623" spans="2:14" x14ac:dyDescent="0.2">
      <c r="B1623" s="1593"/>
      <c r="C1623" s="1592"/>
      <c r="J1623" s="1598"/>
      <c r="N1623" s="1493"/>
    </row>
    <row r="1624" spans="2:14" x14ac:dyDescent="0.2">
      <c r="B1624" s="1593"/>
      <c r="C1624" s="1592"/>
      <c r="J1624" s="1598"/>
      <c r="N1624" s="1493"/>
    </row>
    <row r="1625" spans="2:14" x14ac:dyDescent="0.2">
      <c r="B1625" s="1593"/>
      <c r="C1625" s="1592"/>
      <c r="J1625" s="1598"/>
      <c r="N1625" s="1493"/>
    </row>
    <row r="1626" spans="2:14" x14ac:dyDescent="0.2">
      <c r="B1626" s="1593"/>
      <c r="C1626" s="1592"/>
      <c r="J1626" s="1598"/>
      <c r="N1626" s="1493"/>
    </row>
    <row r="1627" spans="2:14" x14ac:dyDescent="0.2">
      <c r="B1627" s="1593"/>
      <c r="C1627" s="1592"/>
      <c r="J1627" s="1598"/>
      <c r="N1627" s="1493"/>
    </row>
    <row r="1628" spans="2:14" x14ac:dyDescent="0.2">
      <c r="B1628" s="1593"/>
      <c r="C1628" s="1592"/>
      <c r="J1628" s="1598"/>
      <c r="N1628" s="1493"/>
    </row>
    <row r="1629" spans="2:14" x14ac:dyDescent="0.2">
      <c r="B1629" s="1593"/>
      <c r="C1629" s="1592"/>
      <c r="J1629" s="1598"/>
      <c r="N1629" s="1493"/>
    </row>
    <row r="1630" spans="2:14" x14ac:dyDescent="0.2">
      <c r="B1630" s="1593"/>
      <c r="C1630" s="1592"/>
      <c r="J1630" s="1598"/>
      <c r="N1630" s="1493"/>
    </row>
    <row r="1631" spans="2:14" x14ac:dyDescent="0.2">
      <c r="B1631" s="1593"/>
      <c r="C1631" s="1592"/>
      <c r="J1631" s="1598"/>
      <c r="N1631" s="1493"/>
    </row>
    <row r="1632" spans="2:14" x14ac:dyDescent="0.2">
      <c r="B1632" s="1593"/>
      <c r="C1632" s="1592"/>
      <c r="J1632" s="1598"/>
      <c r="N1632" s="1493"/>
    </row>
    <row r="1633" spans="2:14" x14ac:dyDescent="0.2">
      <c r="B1633" s="1593"/>
      <c r="C1633" s="1592"/>
      <c r="J1633" s="1598"/>
      <c r="N1633" s="1493"/>
    </row>
    <row r="1634" spans="2:14" x14ac:dyDescent="0.2">
      <c r="B1634" s="1593"/>
      <c r="C1634" s="1592"/>
      <c r="J1634" s="1598"/>
      <c r="N1634" s="1493"/>
    </row>
    <row r="1635" spans="2:14" x14ac:dyDescent="0.2">
      <c r="B1635" s="1593"/>
      <c r="C1635" s="1592"/>
      <c r="J1635" s="1598"/>
      <c r="N1635" s="1493"/>
    </row>
    <row r="1636" spans="2:14" x14ac:dyDescent="0.2">
      <c r="B1636" s="1593"/>
      <c r="C1636" s="1592"/>
      <c r="J1636" s="1598"/>
      <c r="N1636" s="1493"/>
    </row>
    <row r="1637" spans="2:14" x14ac:dyDescent="0.2">
      <c r="B1637" s="1593"/>
      <c r="C1637" s="1592"/>
      <c r="J1637" s="1598"/>
      <c r="N1637" s="1493"/>
    </row>
    <row r="1638" spans="2:14" x14ac:dyDescent="0.2">
      <c r="B1638" s="1593"/>
      <c r="C1638" s="1592"/>
      <c r="J1638" s="1598"/>
      <c r="N1638" s="1493"/>
    </row>
    <row r="1639" spans="2:14" x14ac:dyDescent="0.2">
      <c r="B1639" s="1593"/>
      <c r="C1639" s="1592"/>
      <c r="J1639" s="1598"/>
      <c r="N1639" s="1493"/>
    </row>
    <row r="1640" spans="2:14" x14ac:dyDescent="0.2">
      <c r="B1640" s="1593"/>
      <c r="C1640" s="1592"/>
      <c r="J1640" s="1598"/>
      <c r="N1640" s="1493"/>
    </row>
    <row r="1641" spans="2:14" x14ac:dyDescent="0.2">
      <c r="B1641" s="1593"/>
      <c r="C1641" s="1592"/>
      <c r="J1641" s="1598"/>
      <c r="N1641" s="1493"/>
    </row>
    <row r="1642" spans="2:14" x14ac:dyDescent="0.2">
      <c r="B1642" s="1593"/>
      <c r="C1642" s="1592"/>
      <c r="J1642" s="1598"/>
      <c r="N1642" s="1493"/>
    </row>
    <row r="1643" spans="2:14" x14ac:dyDescent="0.2">
      <c r="B1643" s="1593"/>
      <c r="C1643" s="1592"/>
      <c r="J1643" s="1598"/>
      <c r="N1643" s="1493"/>
    </row>
    <row r="1644" spans="2:14" x14ac:dyDescent="0.2">
      <c r="B1644" s="1593"/>
      <c r="C1644" s="1592"/>
      <c r="J1644" s="1598"/>
      <c r="N1644" s="1493"/>
    </row>
    <row r="1645" spans="2:14" x14ac:dyDescent="0.2">
      <c r="B1645" s="1593"/>
      <c r="C1645" s="1592"/>
      <c r="J1645" s="1598"/>
      <c r="N1645" s="1493"/>
    </row>
    <row r="1646" spans="2:14" x14ac:dyDescent="0.2">
      <c r="B1646" s="1593"/>
      <c r="C1646" s="1592"/>
      <c r="J1646" s="1598"/>
      <c r="N1646" s="1493"/>
    </row>
    <row r="1647" spans="2:14" x14ac:dyDescent="0.2">
      <c r="B1647" s="1593"/>
      <c r="C1647" s="1592"/>
      <c r="J1647" s="1598"/>
      <c r="N1647" s="1493"/>
    </row>
    <row r="1648" spans="2:14" x14ac:dyDescent="0.2">
      <c r="B1648" s="1593"/>
      <c r="C1648" s="1592"/>
      <c r="J1648" s="1598"/>
      <c r="N1648" s="1493"/>
    </row>
    <row r="1649" spans="2:14" x14ac:dyDescent="0.2">
      <c r="B1649" s="1593"/>
      <c r="C1649" s="1592"/>
      <c r="J1649" s="1598"/>
      <c r="N1649" s="1493"/>
    </row>
    <row r="1650" spans="2:14" x14ac:dyDescent="0.2">
      <c r="B1650" s="1593"/>
      <c r="C1650" s="1592"/>
      <c r="J1650" s="1598"/>
      <c r="N1650" s="1493"/>
    </row>
    <row r="1651" spans="2:14" x14ac:dyDescent="0.2">
      <c r="B1651" s="1593"/>
      <c r="C1651" s="1592"/>
      <c r="J1651" s="1598"/>
      <c r="N1651" s="1493"/>
    </row>
    <row r="1652" spans="2:14" x14ac:dyDescent="0.2">
      <c r="B1652" s="1593"/>
      <c r="C1652" s="1592"/>
      <c r="J1652" s="1598"/>
      <c r="N1652" s="1493"/>
    </row>
    <row r="1653" spans="2:14" x14ac:dyDescent="0.2">
      <c r="B1653" s="1593"/>
      <c r="C1653" s="1592"/>
      <c r="J1653" s="1598"/>
      <c r="N1653" s="1493"/>
    </row>
    <row r="1654" spans="2:14" x14ac:dyDescent="0.2">
      <c r="B1654" s="1593"/>
      <c r="C1654" s="1592"/>
      <c r="J1654" s="1598"/>
      <c r="N1654" s="1493"/>
    </row>
    <row r="1655" spans="2:14" x14ac:dyDescent="0.2">
      <c r="B1655" s="1593"/>
      <c r="C1655" s="1592"/>
      <c r="J1655" s="1598"/>
      <c r="N1655" s="1493"/>
    </row>
    <row r="1656" spans="2:14" x14ac:dyDescent="0.2">
      <c r="B1656" s="1593"/>
      <c r="C1656" s="1592"/>
      <c r="J1656" s="1598"/>
      <c r="N1656" s="1493"/>
    </row>
    <row r="1657" spans="2:14" x14ac:dyDescent="0.2">
      <c r="B1657" s="1593"/>
      <c r="C1657" s="1592"/>
      <c r="J1657" s="1598"/>
      <c r="N1657" s="1493"/>
    </row>
    <row r="1658" spans="2:14" x14ac:dyDescent="0.2">
      <c r="B1658" s="1593"/>
      <c r="C1658" s="1592"/>
      <c r="J1658" s="1598"/>
      <c r="N1658" s="1493"/>
    </row>
    <row r="1659" spans="2:14" x14ac:dyDescent="0.2">
      <c r="B1659" s="1593"/>
      <c r="C1659" s="1592"/>
      <c r="J1659" s="1598"/>
      <c r="N1659" s="1493"/>
    </row>
    <row r="1660" spans="2:14" x14ac:dyDescent="0.2">
      <c r="B1660" s="1593"/>
      <c r="C1660" s="1592"/>
      <c r="J1660" s="1598"/>
      <c r="N1660" s="1493"/>
    </row>
    <row r="1661" spans="2:14" x14ac:dyDescent="0.2">
      <c r="B1661" s="1593"/>
      <c r="C1661" s="1592"/>
      <c r="J1661" s="1598"/>
      <c r="N1661" s="1493"/>
    </row>
    <row r="1662" spans="2:14" x14ac:dyDescent="0.2">
      <c r="B1662" s="1593"/>
      <c r="C1662" s="1592"/>
      <c r="J1662" s="1598"/>
      <c r="N1662" s="1493"/>
    </row>
    <row r="1663" spans="2:14" x14ac:dyDescent="0.2">
      <c r="B1663" s="1593"/>
      <c r="C1663" s="1592"/>
      <c r="J1663" s="1598"/>
      <c r="N1663" s="1493"/>
    </row>
    <row r="1664" spans="2:14" x14ac:dyDescent="0.2">
      <c r="B1664" s="1593"/>
      <c r="C1664" s="1592"/>
      <c r="J1664" s="1598"/>
      <c r="N1664" s="1493"/>
    </row>
    <row r="1665" spans="2:14" x14ac:dyDescent="0.2">
      <c r="B1665" s="1593"/>
      <c r="C1665" s="1592"/>
      <c r="J1665" s="1598"/>
      <c r="N1665" s="1493"/>
    </row>
    <row r="1666" spans="2:14" x14ac:dyDescent="0.2">
      <c r="B1666" s="1593"/>
      <c r="C1666" s="1592"/>
      <c r="J1666" s="1598"/>
      <c r="N1666" s="1493"/>
    </row>
    <row r="1667" spans="2:14" x14ac:dyDescent="0.2">
      <c r="B1667" s="1593"/>
      <c r="C1667" s="1592"/>
      <c r="J1667" s="1598"/>
      <c r="N1667" s="1493"/>
    </row>
    <row r="1668" spans="2:14" x14ac:dyDescent="0.2">
      <c r="B1668" s="1593"/>
      <c r="C1668" s="1592"/>
      <c r="J1668" s="1598"/>
      <c r="N1668" s="1493"/>
    </row>
    <row r="1669" spans="2:14" x14ac:dyDescent="0.2">
      <c r="B1669" s="1593"/>
      <c r="C1669" s="1592"/>
      <c r="J1669" s="1598"/>
      <c r="N1669" s="1493"/>
    </row>
    <row r="1670" spans="2:14" x14ac:dyDescent="0.2">
      <c r="B1670" s="1593"/>
      <c r="C1670" s="1592"/>
      <c r="J1670" s="1598"/>
      <c r="N1670" s="1493"/>
    </row>
    <row r="1671" spans="2:14" x14ac:dyDescent="0.2">
      <c r="B1671" s="1593"/>
      <c r="C1671" s="1592"/>
      <c r="J1671" s="1598"/>
      <c r="N1671" s="1493"/>
    </row>
    <row r="1672" spans="2:14" x14ac:dyDescent="0.2">
      <c r="B1672" s="1593"/>
      <c r="C1672" s="1592"/>
      <c r="J1672" s="1598"/>
      <c r="N1672" s="1493"/>
    </row>
    <row r="1673" spans="2:14" x14ac:dyDescent="0.2">
      <c r="B1673" s="1593"/>
      <c r="C1673" s="1592"/>
      <c r="J1673" s="1598"/>
      <c r="N1673" s="1493"/>
    </row>
    <row r="1674" spans="2:14" x14ac:dyDescent="0.2">
      <c r="B1674" s="1593"/>
      <c r="C1674" s="1592"/>
      <c r="J1674" s="1598"/>
      <c r="N1674" s="1493"/>
    </row>
    <row r="1675" spans="2:14" x14ac:dyDescent="0.2">
      <c r="B1675" s="1593"/>
      <c r="C1675" s="1592"/>
      <c r="J1675" s="1598"/>
      <c r="N1675" s="1493"/>
    </row>
    <row r="1676" spans="2:14" x14ac:dyDescent="0.2">
      <c r="B1676" s="1593"/>
      <c r="C1676" s="1592"/>
      <c r="J1676" s="1598"/>
      <c r="N1676" s="1493"/>
    </row>
    <row r="1677" spans="2:14" x14ac:dyDescent="0.2">
      <c r="B1677" s="1593"/>
      <c r="C1677" s="1592"/>
      <c r="J1677" s="1598"/>
      <c r="N1677" s="1493"/>
    </row>
    <row r="1678" spans="2:14" x14ac:dyDescent="0.2">
      <c r="B1678" s="1593"/>
      <c r="C1678" s="1592"/>
      <c r="J1678" s="1598"/>
      <c r="N1678" s="1493"/>
    </row>
    <row r="1679" spans="2:14" x14ac:dyDescent="0.2">
      <c r="B1679" s="1593"/>
      <c r="C1679" s="1592"/>
      <c r="J1679" s="1598"/>
      <c r="N1679" s="1493"/>
    </row>
    <row r="1680" spans="2:14" x14ac:dyDescent="0.2">
      <c r="B1680" s="1593"/>
      <c r="C1680" s="1592"/>
      <c r="J1680" s="1598"/>
      <c r="N1680" s="1493"/>
    </row>
    <row r="1681" spans="2:14" x14ac:dyDescent="0.2">
      <c r="B1681" s="1593"/>
      <c r="C1681" s="1592"/>
      <c r="J1681" s="1598"/>
      <c r="N1681" s="1493"/>
    </row>
    <row r="1682" spans="2:14" x14ac:dyDescent="0.2">
      <c r="B1682" s="1593"/>
      <c r="C1682" s="1592"/>
      <c r="J1682" s="1598"/>
      <c r="N1682" s="1493"/>
    </row>
    <row r="1683" spans="2:14" x14ac:dyDescent="0.2">
      <c r="B1683" s="1593"/>
      <c r="C1683" s="1592"/>
      <c r="J1683" s="1598"/>
      <c r="N1683" s="1493"/>
    </row>
    <row r="1684" spans="2:14" x14ac:dyDescent="0.2">
      <c r="B1684" s="1593"/>
      <c r="C1684" s="1592"/>
      <c r="J1684" s="1598"/>
      <c r="N1684" s="1493"/>
    </row>
    <row r="1685" spans="2:14" x14ac:dyDescent="0.2">
      <c r="B1685" s="1593"/>
      <c r="C1685" s="1592"/>
      <c r="J1685" s="1598"/>
      <c r="N1685" s="1493"/>
    </row>
    <row r="1686" spans="2:14" x14ac:dyDescent="0.2">
      <c r="B1686" s="1593"/>
      <c r="C1686" s="1592"/>
      <c r="J1686" s="1598"/>
      <c r="N1686" s="1493"/>
    </row>
    <row r="1687" spans="2:14" x14ac:dyDescent="0.2">
      <c r="B1687" s="1593"/>
      <c r="C1687" s="1592"/>
      <c r="J1687" s="1598"/>
      <c r="N1687" s="1493"/>
    </row>
    <row r="1688" spans="2:14" x14ac:dyDescent="0.2">
      <c r="B1688" s="1593"/>
      <c r="C1688" s="1592"/>
      <c r="J1688" s="1598"/>
      <c r="N1688" s="1493"/>
    </row>
    <row r="1689" spans="2:14" x14ac:dyDescent="0.2">
      <c r="B1689" s="1593"/>
      <c r="C1689" s="1592"/>
      <c r="J1689" s="1598"/>
      <c r="N1689" s="1493"/>
    </row>
    <row r="1690" spans="2:14" x14ac:dyDescent="0.2">
      <c r="B1690" s="1593"/>
      <c r="C1690" s="1592"/>
      <c r="J1690" s="1598"/>
      <c r="N1690" s="1493"/>
    </row>
    <row r="1691" spans="2:14" x14ac:dyDescent="0.2">
      <c r="B1691" s="1593"/>
      <c r="C1691" s="1592"/>
      <c r="J1691" s="1598"/>
      <c r="N1691" s="1493"/>
    </row>
    <row r="1692" spans="2:14" x14ac:dyDescent="0.2">
      <c r="B1692" s="1593"/>
      <c r="C1692" s="1592"/>
      <c r="J1692" s="1598"/>
      <c r="N1692" s="1493"/>
    </row>
    <row r="1693" spans="2:14" x14ac:dyDescent="0.2">
      <c r="B1693" s="1593"/>
      <c r="C1693" s="1592"/>
      <c r="J1693" s="1598"/>
      <c r="N1693" s="1493"/>
    </row>
    <row r="1694" spans="2:14" x14ac:dyDescent="0.2">
      <c r="B1694" s="1593"/>
      <c r="C1694" s="1592"/>
      <c r="J1694" s="1598"/>
      <c r="N1694" s="1493"/>
    </row>
    <row r="1695" spans="2:14" x14ac:dyDescent="0.2">
      <c r="B1695" s="1593"/>
      <c r="C1695" s="1592"/>
      <c r="J1695" s="1598"/>
      <c r="N1695" s="1493"/>
    </row>
    <row r="1696" spans="2:14" x14ac:dyDescent="0.2">
      <c r="B1696" s="1593"/>
      <c r="C1696" s="1592"/>
      <c r="J1696" s="1598"/>
      <c r="N1696" s="1493"/>
    </row>
    <row r="1697" spans="2:14" x14ac:dyDescent="0.2">
      <c r="B1697" s="1593"/>
      <c r="C1697" s="1592"/>
      <c r="J1697" s="1598"/>
      <c r="N1697" s="1493"/>
    </row>
    <row r="1698" spans="2:14" x14ac:dyDescent="0.2">
      <c r="B1698" s="1593"/>
      <c r="C1698" s="1592"/>
      <c r="J1698" s="1598"/>
      <c r="N1698" s="1493"/>
    </row>
    <row r="1699" spans="2:14" x14ac:dyDescent="0.2">
      <c r="B1699" s="1593"/>
      <c r="C1699" s="1592"/>
      <c r="J1699" s="1598"/>
      <c r="N1699" s="1493"/>
    </row>
    <row r="1700" spans="2:14" x14ac:dyDescent="0.2">
      <c r="B1700" s="1593"/>
      <c r="C1700" s="1592"/>
      <c r="J1700" s="1598"/>
      <c r="N1700" s="1493"/>
    </row>
    <row r="1701" spans="2:14" x14ac:dyDescent="0.2">
      <c r="B1701" s="1593"/>
      <c r="C1701" s="1592"/>
      <c r="J1701" s="1598"/>
      <c r="N1701" s="1493"/>
    </row>
    <row r="1702" spans="2:14" x14ac:dyDescent="0.2">
      <c r="B1702" s="1593"/>
      <c r="C1702" s="1592"/>
      <c r="J1702" s="1598"/>
      <c r="N1702" s="1493"/>
    </row>
    <row r="1703" spans="2:14" x14ac:dyDescent="0.2">
      <c r="B1703" s="1593"/>
      <c r="C1703" s="1592"/>
      <c r="J1703" s="1598"/>
      <c r="N1703" s="1493"/>
    </row>
    <row r="1704" spans="2:14" x14ac:dyDescent="0.2">
      <c r="B1704" s="1593"/>
      <c r="C1704" s="1592"/>
      <c r="J1704" s="1598"/>
      <c r="N1704" s="1493"/>
    </row>
    <row r="1705" spans="2:14" x14ac:dyDescent="0.2">
      <c r="B1705" s="1593"/>
      <c r="C1705" s="1592"/>
      <c r="J1705" s="1598"/>
      <c r="N1705" s="1493"/>
    </row>
    <row r="1706" spans="2:14" x14ac:dyDescent="0.2">
      <c r="B1706" s="1593"/>
      <c r="C1706" s="1592"/>
      <c r="J1706" s="1598"/>
      <c r="N1706" s="1493"/>
    </row>
    <row r="1707" spans="2:14" x14ac:dyDescent="0.2">
      <c r="B1707" s="1593"/>
      <c r="C1707" s="1592"/>
      <c r="J1707" s="1598"/>
      <c r="N1707" s="1493"/>
    </row>
    <row r="1708" spans="2:14" x14ac:dyDescent="0.2">
      <c r="B1708" s="1593"/>
      <c r="C1708" s="1592"/>
      <c r="J1708" s="1598"/>
      <c r="N1708" s="1493"/>
    </row>
    <row r="1709" spans="2:14" x14ac:dyDescent="0.2">
      <c r="B1709" s="1593"/>
      <c r="C1709" s="1592"/>
      <c r="J1709" s="1598"/>
      <c r="N1709" s="1493"/>
    </row>
    <row r="1710" spans="2:14" x14ac:dyDescent="0.2">
      <c r="B1710" s="1593"/>
      <c r="C1710" s="1592"/>
      <c r="J1710" s="1598"/>
      <c r="N1710" s="1493"/>
    </row>
    <row r="1711" spans="2:14" x14ac:dyDescent="0.2">
      <c r="B1711" s="1593"/>
      <c r="C1711" s="1592"/>
      <c r="J1711" s="1598"/>
      <c r="N1711" s="1493"/>
    </row>
    <row r="1712" spans="2:14" x14ac:dyDescent="0.2">
      <c r="B1712" s="1593"/>
      <c r="C1712" s="1592"/>
      <c r="J1712" s="1598"/>
      <c r="N1712" s="1493"/>
    </row>
    <row r="1713" spans="2:14" x14ac:dyDescent="0.2">
      <c r="B1713" s="1593"/>
      <c r="C1713" s="1592"/>
      <c r="J1713" s="1598"/>
      <c r="N1713" s="1493"/>
    </row>
    <row r="1714" spans="2:14" x14ac:dyDescent="0.2">
      <c r="B1714" s="1593"/>
      <c r="C1714" s="1592"/>
      <c r="J1714" s="1598"/>
      <c r="N1714" s="1493"/>
    </row>
    <row r="1715" spans="2:14" x14ac:dyDescent="0.2">
      <c r="B1715" s="1593"/>
      <c r="C1715" s="1592"/>
      <c r="J1715" s="1598"/>
      <c r="N1715" s="1493"/>
    </row>
    <row r="1716" spans="2:14" x14ac:dyDescent="0.2">
      <c r="B1716" s="1593"/>
      <c r="C1716" s="1592"/>
      <c r="J1716" s="1598"/>
      <c r="N1716" s="1493"/>
    </row>
    <row r="1717" spans="2:14" x14ac:dyDescent="0.2">
      <c r="B1717" s="1593"/>
      <c r="C1717" s="1592"/>
      <c r="J1717" s="1598"/>
      <c r="N1717" s="1493"/>
    </row>
    <row r="1718" spans="2:14" x14ac:dyDescent="0.2">
      <c r="B1718" s="1593"/>
      <c r="C1718" s="1592"/>
      <c r="J1718" s="1598"/>
      <c r="N1718" s="1493"/>
    </row>
    <row r="1719" spans="2:14" x14ac:dyDescent="0.2">
      <c r="B1719" s="1593"/>
      <c r="C1719" s="1592"/>
      <c r="J1719" s="1598"/>
      <c r="N1719" s="1493"/>
    </row>
    <row r="1720" spans="2:14" x14ac:dyDescent="0.2">
      <c r="C1720" s="1592"/>
      <c r="J1720" s="1598"/>
      <c r="N1720" s="1493"/>
    </row>
    <row r="1721" spans="2:14" x14ac:dyDescent="0.2">
      <c r="J1721" s="1598"/>
      <c r="N1721" s="1493"/>
    </row>
    <row r="1722" spans="2:14" x14ac:dyDescent="0.2">
      <c r="D1722" s="1493"/>
      <c r="E1722" s="1493"/>
      <c r="F1722" s="1493"/>
      <c r="G1722" s="1493"/>
      <c r="H1722" s="1493"/>
      <c r="I1722" s="1493"/>
      <c r="J1722" s="1598"/>
      <c r="N1722" s="1493"/>
    </row>
    <row r="1723" spans="2:14" x14ac:dyDescent="0.2">
      <c r="D1723" s="1493"/>
      <c r="E1723" s="1493"/>
      <c r="F1723" s="1493"/>
      <c r="G1723" s="1493"/>
      <c r="H1723" s="1493"/>
      <c r="I1723" s="1493"/>
      <c r="J1723" s="1598"/>
      <c r="N1723" s="1493"/>
    </row>
    <row r="1724" spans="2:14" x14ac:dyDescent="0.2">
      <c r="D1724" s="1493"/>
      <c r="E1724" s="1493"/>
      <c r="F1724" s="1493"/>
      <c r="G1724" s="1493"/>
      <c r="H1724" s="1493"/>
      <c r="I1724" s="1493"/>
      <c r="J1724" s="1598"/>
      <c r="N1724" s="1493"/>
    </row>
    <row r="1725" spans="2:14" x14ac:dyDescent="0.2">
      <c r="D1725" s="1493"/>
      <c r="E1725" s="1493"/>
      <c r="F1725" s="1493"/>
      <c r="G1725" s="1493"/>
      <c r="H1725" s="1493"/>
      <c r="I1725" s="1493"/>
      <c r="J1725" s="1598"/>
      <c r="N1725" s="1493"/>
    </row>
    <row r="1726" spans="2:14" x14ac:dyDescent="0.2">
      <c r="D1726" s="1493"/>
      <c r="E1726" s="1493"/>
      <c r="F1726" s="1493"/>
      <c r="G1726" s="1493"/>
      <c r="H1726" s="1493"/>
      <c r="I1726" s="1493"/>
      <c r="J1726" s="1598"/>
      <c r="N1726" s="1493"/>
    </row>
    <row r="1727" spans="2:14" x14ac:dyDescent="0.2">
      <c r="D1727" s="1493"/>
      <c r="E1727" s="1493"/>
      <c r="F1727" s="1493"/>
      <c r="G1727" s="1493"/>
      <c r="H1727" s="1493"/>
      <c r="I1727" s="1493"/>
      <c r="J1727" s="1598"/>
      <c r="N1727" s="1493"/>
    </row>
    <row r="1728" spans="2:14" x14ac:dyDescent="0.2">
      <c r="D1728" s="1493"/>
      <c r="E1728" s="1493"/>
      <c r="F1728" s="1493"/>
      <c r="G1728" s="1493"/>
      <c r="H1728" s="1493"/>
      <c r="I1728" s="1493"/>
      <c r="J1728" s="1598"/>
      <c r="N1728" s="1493"/>
    </row>
    <row r="1729" spans="4:14" x14ac:dyDescent="0.2">
      <c r="D1729" s="1493"/>
      <c r="E1729" s="1493"/>
      <c r="F1729" s="1493"/>
      <c r="G1729" s="1493"/>
      <c r="H1729" s="1493"/>
      <c r="I1729" s="1493"/>
      <c r="J1729" s="1598"/>
      <c r="N1729" s="1493"/>
    </row>
    <row r="1730" spans="4:14" x14ac:dyDescent="0.2">
      <c r="D1730" s="1493"/>
      <c r="E1730" s="1493"/>
      <c r="F1730" s="1493"/>
      <c r="G1730" s="1493"/>
      <c r="H1730" s="1493"/>
      <c r="I1730" s="1493"/>
      <c r="J1730" s="1598"/>
      <c r="N1730" s="1493"/>
    </row>
    <row r="1731" spans="4:14" x14ac:dyDescent="0.2">
      <c r="D1731" s="1493"/>
      <c r="E1731" s="1493"/>
      <c r="F1731" s="1493"/>
      <c r="G1731" s="1493"/>
      <c r="H1731" s="1493"/>
      <c r="I1731" s="1493"/>
      <c r="J1731" s="1598"/>
      <c r="N1731" s="1493"/>
    </row>
    <row r="1732" spans="4:14" x14ac:dyDescent="0.2">
      <c r="D1732" s="1493"/>
      <c r="E1732" s="1493"/>
      <c r="F1732" s="1493"/>
      <c r="G1732" s="1493"/>
      <c r="H1732" s="1493"/>
      <c r="I1732" s="1493"/>
      <c r="J1732" s="1598"/>
      <c r="N1732" s="1493"/>
    </row>
    <row r="1733" spans="4:14" x14ac:dyDescent="0.2">
      <c r="D1733" s="1493"/>
      <c r="E1733" s="1493"/>
      <c r="F1733" s="1493"/>
      <c r="G1733" s="1493"/>
      <c r="H1733" s="1493"/>
      <c r="I1733" s="1493"/>
      <c r="J1733" s="1598"/>
      <c r="N1733" s="1493"/>
    </row>
    <row r="1734" spans="4:14" x14ac:dyDescent="0.2">
      <c r="D1734" s="1493"/>
      <c r="E1734" s="1493"/>
      <c r="F1734" s="1493"/>
      <c r="G1734" s="1493"/>
      <c r="H1734" s="1493"/>
      <c r="I1734" s="1493"/>
      <c r="J1734" s="1598"/>
      <c r="N1734" s="1493"/>
    </row>
    <row r="1735" spans="4:14" x14ac:dyDescent="0.2">
      <c r="D1735" s="1493"/>
      <c r="E1735" s="1493"/>
      <c r="F1735" s="1493"/>
      <c r="G1735" s="1493"/>
      <c r="H1735" s="1493"/>
      <c r="I1735" s="1493"/>
      <c r="J1735" s="1598"/>
      <c r="N1735" s="1493"/>
    </row>
    <row r="1736" spans="4:14" x14ac:dyDescent="0.2">
      <c r="D1736" s="1493"/>
      <c r="E1736" s="1493"/>
      <c r="F1736" s="1493"/>
      <c r="G1736" s="1493"/>
      <c r="H1736" s="1493"/>
      <c r="I1736" s="1493"/>
      <c r="J1736" s="1598"/>
      <c r="N1736" s="1493"/>
    </row>
    <row r="1737" spans="4:14" x14ac:dyDescent="0.2">
      <c r="D1737" s="1493"/>
      <c r="E1737" s="1493"/>
      <c r="F1737" s="1493"/>
      <c r="G1737" s="1493"/>
      <c r="H1737" s="1493"/>
      <c r="I1737" s="1493"/>
      <c r="J1737" s="1598"/>
      <c r="N1737" s="1493"/>
    </row>
    <row r="1738" spans="4:14" x14ac:dyDescent="0.2">
      <c r="D1738" s="1493"/>
      <c r="E1738" s="1493"/>
      <c r="F1738" s="1493"/>
      <c r="G1738" s="1493"/>
      <c r="H1738" s="1493"/>
      <c r="I1738" s="1493"/>
      <c r="J1738" s="1598"/>
      <c r="N1738" s="1493"/>
    </row>
    <row r="1739" spans="4:14" x14ac:dyDescent="0.2">
      <c r="D1739" s="1493"/>
      <c r="E1739" s="1493"/>
      <c r="F1739" s="1493"/>
      <c r="G1739" s="1493"/>
      <c r="H1739" s="1493"/>
      <c r="I1739" s="1493"/>
      <c r="J1739" s="1598"/>
      <c r="N1739" s="1493"/>
    </row>
    <row r="1740" spans="4:14" x14ac:dyDescent="0.2">
      <c r="D1740" s="1493"/>
      <c r="E1740" s="1493"/>
      <c r="F1740" s="1493"/>
      <c r="G1740" s="1493"/>
      <c r="H1740" s="1493"/>
      <c r="I1740" s="1493"/>
      <c r="J1740" s="1598"/>
      <c r="N1740" s="1493"/>
    </row>
    <row r="1741" spans="4:14" x14ac:dyDescent="0.2">
      <c r="D1741" s="1493"/>
      <c r="E1741" s="1493"/>
      <c r="F1741" s="1493"/>
      <c r="G1741" s="1493"/>
      <c r="H1741" s="1493"/>
      <c r="I1741" s="1493"/>
      <c r="J1741" s="1598"/>
      <c r="N1741" s="1493"/>
    </row>
    <row r="1742" spans="4:14" x14ac:dyDescent="0.2">
      <c r="D1742" s="1493"/>
      <c r="E1742" s="1493"/>
      <c r="F1742" s="1493"/>
      <c r="G1742" s="1493"/>
      <c r="H1742" s="1493"/>
      <c r="I1742" s="1493"/>
      <c r="J1742" s="1598"/>
      <c r="N1742" s="1493"/>
    </row>
    <row r="1743" spans="4:14" x14ac:dyDescent="0.2">
      <c r="D1743" s="1493"/>
      <c r="E1743" s="1493"/>
      <c r="F1743" s="1493"/>
      <c r="G1743" s="1493"/>
      <c r="H1743" s="1493"/>
      <c r="I1743" s="1493"/>
      <c r="J1743" s="1598"/>
      <c r="N1743" s="1493"/>
    </row>
    <row r="1744" spans="4:14" x14ac:dyDescent="0.2">
      <c r="D1744" s="1493"/>
      <c r="E1744" s="1493"/>
      <c r="F1744" s="1493"/>
      <c r="G1744" s="1493"/>
      <c r="H1744" s="1493"/>
      <c r="I1744" s="1493"/>
      <c r="J1744" s="1598"/>
      <c r="N1744" s="1493"/>
    </row>
    <row r="1745" spans="4:14" x14ac:dyDescent="0.2">
      <c r="D1745" s="1493"/>
      <c r="E1745" s="1493"/>
      <c r="F1745" s="1493"/>
      <c r="G1745" s="1493"/>
      <c r="H1745" s="1493"/>
      <c r="I1745" s="1493"/>
      <c r="J1745" s="1598"/>
      <c r="N1745" s="1493"/>
    </row>
    <row r="1746" spans="4:14" x14ac:dyDescent="0.2">
      <c r="D1746" s="1493"/>
      <c r="E1746" s="1493"/>
      <c r="F1746" s="1493"/>
      <c r="G1746" s="1493"/>
      <c r="H1746" s="1493"/>
      <c r="I1746" s="1493"/>
      <c r="J1746" s="1598"/>
      <c r="N1746" s="1493"/>
    </row>
    <row r="1747" spans="4:14" x14ac:dyDescent="0.2">
      <c r="D1747" s="1493"/>
      <c r="E1747" s="1493"/>
      <c r="F1747" s="1493"/>
      <c r="G1747" s="1493"/>
      <c r="H1747" s="1493"/>
      <c r="I1747" s="1493"/>
      <c r="J1747" s="1598"/>
      <c r="N1747" s="1493"/>
    </row>
    <row r="1748" spans="4:14" x14ac:dyDescent="0.2">
      <c r="D1748" s="1493"/>
      <c r="E1748" s="1493"/>
      <c r="F1748" s="1493"/>
      <c r="G1748" s="1493"/>
      <c r="H1748" s="1493"/>
      <c r="I1748" s="1493"/>
      <c r="J1748" s="1598"/>
      <c r="N1748" s="1493"/>
    </row>
    <row r="1749" spans="4:14" x14ac:dyDescent="0.2">
      <c r="D1749" s="1493"/>
      <c r="E1749" s="1493"/>
      <c r="F1749" s="1493"/>
      <c r="G1749" s="1493"/>
      <c r="H1749" s="1493"/>
      <c r="I1749" s="1493"/>
      <c r="J1749" s="1598"/>
      <c r="N1749" s="1493"/>
    </row>
    <row r="1750" spans="4:14" x14ac:dyDescent="0.2">
      <c r="D1750" s="1493"/>
      <c r="E1750" s="1493"/>
      <c r="F1750" s="1493"/>
      <c r="G1750" s="1493"/>
      <c r="H1750" s="1493"/>
      <c r="I1750" s="1493"/>
      <c r="J1750" s="1598"/>
      <c r="N1750" s="1493"/>
    </row>
    <row r="1751" spans="4:14" x14ac:dyDescent="0.2">
      <c r="D1751" s="1493"/>
      <c r="E1751" s="1493"/>
      <c r="F1751" s="1493"/>
      <c r="G1751" s="1493"/>
      <c r="H1751" s="1493"/>
      <c r="I1751" s="1493"/>
      <c r="J1751" s="1598"/>
      <c r="N1751" s="1493"/>
    </row>
    <row r="1752" spans="4:14" x14ac:dyDescent="0.2">
      <c r="D1752" s="1493"/>
      <c r="E1752" s="1493"/>
      <c r="F1752" s="1493"/>
      <c r="G1752" s="1493"/>
      <c r="H1752" s="1493"/>
      <c r="I1752" s="1493"/>
      <c r="J1752" s="1598"/>
      <c r="N1752" s="1493"/>
    </row>
    <row r="1753" spans="4:14" x14ac:dyDescent="0.2">
      <c r="D1753" s="1493"/>
      <c r="E1753" s="1493"/>
      <c r="F1753" s="1493"/>
      <c r="G1753" s="1493"/>
      <c r="H1753" s="1493"/>
      <c r="I1753" s="1493"/>
      <c r="J1753" s="1598"/>
      <c r="N1753" s="1493"/>
    </row>
    <row r="1754" spans="4:14" x14ac:dyDescent="0.2">
      <c r="D1754" s="1493"/>
      <c r="E1754" s="1493"/>
      <c r="F1754" s="1493"/>
      <c r="G1754" s="1493"/>
      <c r="H1754" s="1493"/>
      <c r="I1754" s="1493"/>
      <c r="J1754" s="1598"/>
      <c r="N1754" s="1493"/>
    </row>
    <row r="1755" spans="4:14" x14ac:dyDescent="0.2">
      <c r="D1755" s="1493"/>
      <c r="E1755" s="1493"/>
      <c r="F1755" s="1493"/>
      <c r="G1755" s="1493"/>
      <c r="H1755" s="1493"/>
      <c r="I1755" s="1493"/>
      <c r="J1755" s="1598"/>
      <c r="N1755" s="1493"/>
    </row>
    <row r="1756" spans="4:14" x14ac:dyDescent="0.2">
      <c r="D1756" s="1493"/>
      <c r="E1756" s="1493"/>
      <c r="F1756" s="1493"/>
      <c r="G1756" s="1493"/>
      <c r="H1756" s="1493"/>
      <c r="I1756" s="1493"/>
      <c r="J1756" s="1598"/>
      <c r="N1756" s="1493"/>
    </row>
    <row r="1757" spans="4:14" x14ac:dyDescent="0.2">
      <c r="D1757" s="1493"/>
      <c r="E1757" s="1493"/>
      <c r="F1757" s="1493"/>
      <c r="G1757" s="1493"/>
      <c r="H1757" s="1493"/>
      <c r="I1757" s="1493"/>
      <c r="J1757" s="1598"/>
      <c r="N1757" s="1493"/>
    </row>
    <row r="1758" spans="4:14" x14ac:dyDescent="0.2">
      <c r="D1758" s="1493"/>
      <c r="E1758" s="1493"/>
      <c r="F1758" s="1493"/>
      <c r="G1758" s="1493"/>
      <c r="H1758" s="1493"/>
      <c r="I1758" s="1493"/>
      <c r="J1758" s="1598"/>
      <c r="N1758" s="1493"/>
    </row>
    <row r="1759" spans="4:14" x14ac:dyDescent="0.2">
      <c r="D1759" s="1493"/>
      <c r="E1759" s="1493"/>
      <c r="F1759" s="1493"/>
      <c r="G1759" s="1493"/>
      <c r="H1759" s="1493"/>
      <c r="I1759" s="1493"/>
      <c r="J1759" s="1598"/>
      <c r="N1759" s="1493"/>
    </row>
    <row r="1760" spans="4:14" x14ac:dyDescent="0.2">
      <c r="D1760" s="1493"/>
      <c r="E1760" s="1493"/>
      <c r="F1760" s="1493"/>
      <c r="G1760" s="1493"/>
      <c r="H1760" s="1493"/>
      <c r="I1760" s="1493"/>
      <c r="J1760" s="1598"/>
      <c r="N1760" s="1493"/>
    </row>
    <row r="1761" spans="4:14" x14ac:dyDescent="0.2">
      <c r="D1761" s="1493"/>
      <c r="E1761" s="1493"/>
      <c r="F1761" s="1493"/>
      <c r="G1761" s="1493"/>
      <c r="H1761" s="1493"/>
      <c r="I1761" s="1493"/>
      <c r="J1761" s="1598"/>
      <c r="N1761" s="1493"/>
    </row>
    <row r="1762" spans="4:14" x14ac:dyDescent="0.2">
      <c r="D1762" s="1493"/>
      <c r="E1762" s="1493"/>
      <c r="F1762" s="1493"/>
      <c r="G1762" s="1493"/>
      <c r="H1762" s="1493"/>
      <c r="I1762" s="1493"/>
      <c r="J1762" s="1598"/>
      <c r="N1762" s="1493"/>
    </row>
    <row r="1763" spans="4:14" x14ac:dyDescent="0.2">
      <c r="D1763" s="1493"/>
      <c r="E1763" s="1493"/>
      <c r="F1763" s="1493"/>
      <c r="G1763" s="1493"/>
      <c r="H1763" s="1493"/>
      <c r="I1763" s="1493"/>
      <c r="J1763" s="1598"/>
      <c r="N1763" s="1493"/>
    </row>
    <row r="1764" spans="4:14" x14ac:dyDescent="0.2">
      <c r="D1764" s="1493"/>
      <c r="E1764" s="1493"/>
      <c r="F1764" s="1493"/>
      <c r="G1764" s="1493"/>
      <c r="H1764" s="1493"/>
      <c r="I1764" s="1493"/>
      <c r="J1764" s="1598"/>
      <c r="N1764" s="1493"/>
    </row>
    <row r="1765" spans="4:14" x14ac:dyDescent="0.2">
      <c r="D1765" s="1493"/>
      <c r="E1765" s="1493"/>
      <c r="F1765" s="1493"/>
      <c r="G1765" s="1493"/>
      <c r="H1765" s="1493"/>
      <c r="I1765" s="1493"/>
      <c r="J1765" s="1598"/>
      <c r="N1765" s="1493"/>
    </row>
    <row r="1766" spans="4:14" x14ac:dyDescent="0.2">
      <c r="D1766" s="1493"/>
      <c r="E1766" s="1493"/>
      <c r="F1766" s="1493"/>
      <c r="G1766" s="1493"/>
      <c r="H1766" s="1493"/>
      <c r="I1766" s="1493"/>
      <c r="J1766" s="1598"/>
      <c r="N1766" s="1493"/>
    </row>
    <row r="1767" spans="4:14" x14ac:dyDescent="0.2">
      <c r="D1767" s="1493"/>
      <c r="E1767" s="1493"/>
      <c r="F1767" s="1493"/>
      <c r="G1767" s="1493"/>
      <c r="H1767" s="1493"/>
      <c r="I1767" s="1493"/>
      <c r="J1767" s="1598"/>
      <c r="N1767" s="1493"/>
    </row>
    <row r="1768" spans="4:14" x14ac:dyDescent="0.2">
      <c r="D1768" s="1493"/>
      <c r="E1768" s="1493"/>
      <c r="F1768" s="1493"/>
      <c r="G1768" s="1493"/>
      <c r="H1768" s="1493"/>
      <c r="I1768" s="1493"/>
      <c r="J1768" s="1598"/>
      <c r="N1768" s="1493"/>
    </row>
    <row r="1769" spans="4:14" x14ac:dyDescent="0.2">
      <c r="D1769" s="1493"/>
      <c r="E1769" s="1493"/>
      <c r="F1769" s="1493"/>
      <c r="G1769" s="1493"/>
      <c r="H1769" s="1493"/>
      <c r="I1769" s="1493"/>
      <c r="J1769" s="1598"/>
      <c r="N1769" s="1493"/>
    </row>
    <row r="1770" spans="4:14" x14ac:dyDescent="0.2">
      <c r="D1770" s="1493"/>
      <c r="E1770" s="1493"/>
      <c r="F1770" s="1493"/>
      <c r="G1770" s="1493"/>
      <c r="H1770" s="1493"/>
      <c r="I1770" s="1493"/>
      <c r="J1770" s="1598"/>
      <c r="N1770" s="1493"/>
    </row>
    <row r="1771" spans="4:14" x14ac:dyDescent="0.2">
      <c r="D1771" s="1493"/>
      <c r="E1771" s="1493"/>
      <c r="F1771" s="1493"/>
      <c r="G1771" s="1493"/>
      <c r="H1771" s="1493"/>
      <c r="I1771" s="1493"/>
      <c r="J1771" s="1598"/>
      <c r="N1771" s="1493"/>
    </row>
    <row r="1772" spans="4:14" x14ac:dyDescent="0.2">
      <c r="D1772" s="1493"/>
      <c r="E1772" s="1493"/>
      <c r="F1772" s="1493"/>
      <c r="G1772" s="1493"/>
      <c r="H1772" s="1493"/>
      <c r="I1772" s="1493"/>
      <c r="J1772" s="1598"/>
      <c r="N1772" s="1493"/>
    </row>
    <row r="1773" spans="4:14" x14ac:dyDescent="0.2">
      <c r="D1773" s="1493"/>
      <c r="E1773" s="1493"/>
      <c r="F1773" s="1493"/>
      <c r="G1773" s="1493"/>
      <c r="H1773" s="1493"/>
      <c r="I1773" s="1493"/>
      <c r="J1773" s="1598"/>
      <c r="N1773" s="1493"/>
    </row>
    <row r="1774" spans="4:14" x14ac:dyDescent="0.2">
      <c r="D1774" s="1493"/>
      <c r="E1774" s="1493"/>
      <c r="F1774" s="1493"/>
      <c r="G1774" s="1493"/>
      <c r="H1774" s="1493"/>
      <c r="I1774" s="1493"/>
      <c r="J1774" s="1598"/>
      <c r="N1774" s="1493"/>
    </row>
    <row r="1775" spans="4:14" x14ac:dyDescent="0.2">
      <c r="D1775" s="1493"/>
      <c r="E1775" s="1493"/>
      <c r="F1775" s="1493"/>
      <c r="G1775" s="1493"/>
      <c r="H1775" s="1493"/>
      <c r="I1775" s="1493"/>
      <c r="J1775" s="1598"/>
      <c r="N1775" s="1493"/>
    </row>
    <row r="1776" spans="4:14" x14ac:dyDescent="0.2">
      <c r="D1776" s="1493"/>
      <c r="E1776" s="1493"/>
      <c r="F1776" s="1493"/>
      <c r="G1776" s="1493"/>
      <c r="H1776" s="1493"/>
      <c r="I1776" s="1493"/>
      <c r="J1776" s="1598"/>
      <c r="N1776" s="1493"/>
    </row>
    <row r="1777" spans="4:14" x14ac:dyDescent="0.2">
      <c r="D1777" s="1493"/>
      <c r="E1777" s="1493"/>
      <c r="F1777" s="1493"/>
      <c r="G1777" s="1493"/>
      <c r="H1777" s="1493"/>
      <c r="I1777" s="1493"/>
      <c r="J1777" s="1598"/>
      <c r="N1777" s="1493"/>
    </row>
    <row r="1778" spans="4:14" x14ac:dyDescent="0.2">
      <c r="D1778" s="1493"/>
      <c r="E1778" s="1493"/>
      <c r="F1778" s="1493"/>
      <c r="G1778" s="1493"/>
      <c r="H1778" s="1493"/>
      <c r="I1778" s="1493"/>
      <c r="J1778" s="1598"/>
      <c r="N1778" s="1493"/>
    </row>
    <row r="1779" spans="4:14" x14ac:dyDescent="0.2">
      <c r="D1779" s="1493"/>
      <c r="E1779" s="1493"/>
      <c r="F1779" s="1493"/>
      <c r="G1779" s="1493"/>
      <c r="H1779" s="1493"/>
      <c r="I1779" s="1493"/>
      <c r="J1779" s="1598"/>
      <c r="N1779" s="1493"/>
    </row>
    <row r="1780" spans="4:14" x14ac:dyDescent="0.2">
      <c r="D1780" s="1493"/>
      <c r="E1780" s="1493"/>
      <c r="F1780" s="1493"/>
      <c r="G1780" s="1493"/>
      <c r="H1780" s="1493"/>
      <c r="I1780" s="1493"/>
      <c r="J1780" s="1598"/>
      <c r="N1780" s="1493"/>
    </row>
    <row r="1781" spans="4:14" x14ac:dyDescent="0.2">
      <c r="D1781" s="1493"/>
      <c r="E1781" s="1493"/>
      <c r="F1781" s="1493"/>
      <c r="G1781" s="1493"/>
      <c r="H1781" s="1493"/>
      <c r="I1781" s="1493"/>
      <c r="J1781" s="1598"/>
      <c r="N1781" s="1493"/>
    </row>
    <row r="1782" spans="4:14" x14ac:dyDescent="0.2">
      <c r="D1782" s="1493"/>
      <c r="E1782" s="1493"/>
      <c r="F1782" s="1493"/>
      <c r="G1782" s="1493"/>
      <c r="H1782" s="1493"/>
      <c r="I1782" s="1493"/>
      <c r="J1782" s="1598"/>
      <c r="N1782" s="1493"/>
    </row>
    <row r="1783" spans="4:14" x14ac:dyDescent="0.2">
      <c r="D1783" s="1493"/>
      <c r="E1783" s="1493"/>
      <c r="F1783" s="1493"/>
      <c r="G1783" s="1493"/>
      <c r="H1783" s="1493"/>
      <c r="I1783" s="1493"/>
      <c r="J1783" s="1598"/>
      <c r="N1783" s="1493"/>
    </row>
    <row r="1784" spans="4:14" x14ac:dyDescent="0.2">
      <c r="D1784" s="1493"/>
      <c r="E1784" s="1493"/>
      <c r="F1784" s="1493"/>
      <c r="G1784" s="1493"/>
      <c r="H1784" s="1493"/>
      <c r="I1784" s="1493"/>
      <c r="J1784" s="1598"/>
      <c r="N1784" s="1493"/>
    </row>
    <row r="1785" spans="4:14" x14ac:dyDescent="0.2">
      <c r="D1785" s="1493"/>
      <c r="E1785" s="1493"/>
      <c r="F1785" s="1493"/>
      <c r="G1785" s="1493"/>
      <c r="H1785" s="1493"/>
      <c r="I1785" s="1493"/>
      <c r="J1785" s="1598"/>
      <c r="N1785" s="1493"/>
    </row>
    <row r="1786" spans="4:14" x14ac:dyDescent="0.2">
      <c r="D1786" s="1493"/>
      <c r="E1786" s="1493"/>
      <c r="F1786" s="1493"/>
      <c r="G1786" s="1493"/>
      <c r="H1786" s="1493"/>
      <c r="I1786" s="1493"/>
      <c r="J1786" s="1598"/>
      <c r="N1786" s="1493"/>
    </row>
    <row r="1787" spans="4:14" x14ac:dyDescent="0.2">
      <c r="D1787" s="1493"/>
      <c r="E1787" s="1493"/>
      <c r="F1787" s="1493"/>
      <c r="G1787" s="1493"/>
      <c r="H1787" s="1493"/>
      <c r="I1787" s="1493"/>
      <c r="J1787" s="1598"/>
      <c r="N1787" s="1493"/>
    </row>
    <row r="1788" spans="4:14" x14ac:dyDescent="0.2">
      <c r="D1788" s="1493"/>
      <c r="E1788" s="1493"/>
      <c r="F1788" s="1493"/>
      <c r="G1788" s="1493"/>
      <c r="H1788" s="1493"/>
      <c r="I1788" s="1493"/>
      <c r="J1788" s="1598"/>
      <c r="N1788" s="1493"/>
    </row>
    <row r="1789" spans="4:14" x14ac:dyDescent="0.2">
      <c r="D1789" s="1493"/>
      <c r="E1789" s="1493"/>
      <c r="F1789" s="1493"/>
      <c r="G1789" s="1493"/>
      <c r="H1789" s="1493"/>
      <c r="I1789" s="1493"/>
      <c r="J1789" s="1598"/>
      <c r="N1789" s="1493"/>
    </row>
    <row r="1790" spans="4:14" x14ac:dyDescent="0.2">
      <c r="D1790" s="1493"/>
      <c r="E1790" s="1493"/>
      <c r="F1790" s="1493"/>
      <c r="G1790" s="1493"/>
      <c r="H1790" s="1493"/>
      <c r="I1790" s="1493"/>
      <c r="J1790" s="1598"/>
      <c r="N1790" s="1493"/>
    </row>
    <row r="1791" spans="4:14" x14ac:dyDescent="0.2">
      <c r="D1791" s="1493"/>
      <c r="E1791" s="1493"/>
      <c r="F1791" s="1493"/>
      <c r="G1791" s="1493"/>
      <c r="H1791" s="1493"/>
      <c r="I1791" s="1493"/>
      <c r="J1791" s="1598"/>
      <c r="N1791" s="1493"/>
    </row>
    <row r="1792" spans="4:14" x14ac:dyDescent="0.2">
      <c r="D1792" s="1493"/>
      <c r="E1792" s="1493"/>
      <c r="F1792" s="1493"/>
      <c r="G1792" s="1493"/>
      <c r="H1792" s="1493"/>
      <c r="I1792" s="1493"/>
      <c r="J1792" s="1598"/>
      <c r="N1792" s="1493"/>
    </row>
    <row r="1793" spans="4:14" x14ac:dyDescent="0.2">
      <c r="D1793" s="1493"/>
      <c r="E1793" s="1493"/>
      <c r="F1793" s="1493"/>
      <c r="G1793" s="1493"/>
      <c r="H1793" s="1493"/>
      <c r="I1793" s="1493"/>
      <c r="J1793" s="1598"/>
      <c r="N1793" s="1493"/>
    </row>
    <row r="1794" spans="4:14" x14ac:dyDescent="0.2">
      <c r="D1794" s="1493"/>
      <c r="E1794" s="1493"/>
      <c r="F1794" s="1493"/>
      <c r="G1794" s="1493"/>
      <c r="H1794" s="1493"/>
      <c r="I1794" s="1493"/>
      <c r="J1794" s="1598"/>
      <c r="N1794" s="1493"/>
    </row>
    <row r="1795" spans="4:14" x14ac:dyDescent="0.2">
      <c r="D1795" s="1493"/>
      <c r="E1795" s="1493"/>
      <c r="F1795" s="1493"/>
      <c r="G1795" s="1493"/>
      <c r="H1795" s="1493"/>
      <c r="I1795" s="1493"/>
      <c r="J1795" s="1598"/>
      <c r="N1795" s="1493"/>
    </row>
    <row r="1796" spans="4:14" x14ac:dyDescent="0.2">
      <c r="D1796" s="1493"/>
      <c r="E1796" s="1493"/>
      <c r="F1796" s="1493"/>
      <c r="G1796" s="1493"/>
      <c r="H1796" s="1493"/>
      <c r="I1796" s="1493"/>
      <c r="J1796" s="1598"/>
      <c r="N1796" s="1493"/>
    </row>
    <row r="1797" spans="4:14" x14ac:dyDescent="0.2">
      <c r="D1797" s="1493"/>
      <c r="E1797" s="1493"/>
      <c r="F1797" s="1493"/>
      <c r="G1797" s="1493"/>
      <c r="H1797" s="1493"/>
      <c r="I1797" s="1493"/>
      <c r="J1797" s="1598"/>
      <c r="N1797" s="1493"/>
    </row>
    <row r="1798" spans="4:14" x14ac:dyDescent="0.2">
      <c r="D1798" s="1493"/>
      <c r="E1798" s="1493"/>
      <c r="F1798" s="1493"/>
      <c r="G1798" s="1493"/>
      <c r="H1798" s="1493"/>
      <c r="I1798" s="1493"/>
      <c r="J1798" s="1598"/>
      <c r="N1798" s="1493"/>
    </row>
    <row r="1799" spans="4:14" x14ac:dyDescent="0.2">
      <c r="D1799" s="1493"/>
      <c r="E1799" s="1493"/>
      <c r="F1799" s="1493"/>
      <c r="G1799" s="1493"/>
      <c r="H1799" s="1493"/>
      <c r="I1799" s="1493"/>
      <c r="J1799" s="1598"/>
      <c r="N1799" s="1493"/>
    </row>
    <row r="1800" spans="4:14" x14ac:dyDescent="0.2">
      <c r="D1800" s="1493"/>
      <c r="E1800" s="1493"/>
      <c r="F1800" s="1493"/>
      <c r="G1800" s="1493"/>
      <c r="H1800" s="1493"/>
      <c r="I1800" s="1493"/>
      <c r="J1800" s="1598"/>
      <c r="N1800" s="1493"/>
    </row>
    <row r="1801" spans="4:14" x14ac:dyDescent="0.2">
      <c r="D1801" s="1493"/>
      <c r="E1801" s="1493"/>
      <c r="F1801" s="1493"/>
      <c r="G1801" s="1493"/>
      <c r="H1801" s="1493"/>
      <c r="I1801" s="1493"/>
      <c r="J1801" s="1598"/>
      <c r="N1801" s="1493"/>
    </row>
    <row r="1802" spans="4:14" x14ac:dyDescent="0.2">
      <c r="D1802" s="1493"/>
      <c r="E1802" s="1493"/>
      <c r="F1802" s="1493"/>
      <c r="G1802" s="1493"/>
      <c r="H1802" s="1493"/>
      <c r="I1802" s="1493"/>
      <c r="J1802" s="1598"/>
      <c r="N1802" s="1493"/>
    </row>
    <row r="1803" spans="4:14" x14ac:dyDescent="0.2">
      <c r="D1803" s="1493"/>
      <c r="E1803" s="1493"/>
      <c r="F1803" s="1493"/>
      <c r="G1803" s="1493"/>
      <c r="H1803" s="1493"/>
      <c r="I1803" s="1493"/>
      <c r="J1803" s="1598"/>
      <c r="N1803" s="1493"/>
    </row>
    <row r="1804" spans="4:14" x14ac:dyDescent="0.2">
      <c r="D1804" s="1493"/>
      <c r="E1804" s="1493"/>
      <c r="F1804" s="1493"/>
      <c r="G1804" s="1493"/>
      <c r="H1804" s="1493"/>
      <c r="I1804" s="1493"/>
      <c r="J1804" s="1598"/>
      <c r="N1804" s="1493"/>
    </row>
    <row r="1805" spans="4:14" x14ac:dyDescent="0.2">
      <c r="D1805" s="1493"/>
      <c r="E1805" s="1493"/>
      <c r="F1805" s="1493"/>
      <c r="G1805" s="1493"/>
      <c r="H1805" s="1493"/>
      <c r="I1805" s="1493"/>
      <c r="J1805" s="1598"/>
      <c r="N1805" s="1493"/>
    </row>
    <row r="1806" spans="4:14" x14ac:dyDescent="0.2">
      <c r="D1806" s="1493"/>
      <c r="E1806" s="1493"/>
      <c r="F1806" s="1493"/>
      <c r="G1806" s="1493"/>
      <c r="H1806" s="1493"/>
      <c r="I1806" s="1493"/>
      <c r="J1806" s="1598"/>
      <c r="N1806" s="1493"/>
    </row>
    <row r="1807" spans="4:14" x14ac:dyDescent="0.2">
      <c r="D1807" s="1493"/>
      <c r="E1807" s="1493"/>
      <c r="F1807" s="1493"/>
      <c r="G1807" s="1493"/>
      <c r="H1807" s="1493"/>
      <c r="I1807" s="1493"/>
      <c r="J1807" s="1598"/>
      <c r="N1807" s="1493"/>
    </row>
    <row r="1808" spans="4:14" x14ac:dyDescent="0.2">
      <c r="D1808" s="1493"/>
      <c r="E1808" s="1493"/>
      <c r="F1808" s="1493"/>
      <c r="G1808" s="1493"/>
      <c r="H1808" s="1493"/>
      <c r="I1808" s="1493"/>
      <c r="J1808" s="1598"/>
      <c r="N1808" s="1493"/>
    </row>
    <row r="1809" spans="4:14" x14ac:dyDescent="0.2">
      <c r="D1809" s="1493"/>
      <c r="E1809" s="1493"/>
      <c r="F1809" s="1493"/>
      <c r="G1809" s="1493"/>
      <c r="H1809" s="1493"/>
      <c r="I1809" s="1493"/>
      <c r="J1809" s="1598"/>
      <c r="N1809" s="1493"/>
    </row>
    <row r="1810" spans="4:14" x14ac:dyDescent="0.2">
      <c r="D1810" s="1493"/>
      <c r="E1810" s="1493"/>
      <c r="F1810" s="1493"/>
      <c r="G1810" s="1493"/>
      <c r="H1810" s="1493"/>
      <c r="I1810" s="1493"/>
      <c r="J1810" s="1598"/>
      <c r="N1810" s="1493"/>
    </row>
    <row r="1811" spans="4:14" x14ac:dyDescent="0.2">
      <c r="D1811" s="1493"/>
      <c r="E1811" s="1493"/>
      <c r="F1811" s="1493"/>
      <c r="G1811" s="1493"/>
      <c r="H1811" s="1493"/>
      <c r="I1811" s="1493"/>
      <c r="J1811" s="1598"/>
      <c r="N1811" s="1493"/>
    </row>
    <row r="1812" spans="4:14" x14ac:dyDescent="0.2">
      <c r="D1812" s="1493"/>
      <c r="E1812" s="1493"/>
      <c r="F1812" s="1493"/>
      <c r="G1812" s="1493"/>
      <c r="H1812" s="1493"/>
      <c r="I1812" s="1493"/>
      <c r="J1812" s="1598"/>
      <c r="N1812" s="1493"/>
    </row>
    <row r="1813" spans="4:14" x14ac:dyDescent="0.2">
      <c r="D1813" s="1493"/>
      <c r="E1813" s="1493"/>
      <c r="F1813" s="1493"/>
      <c r="G1813" s="1493"/>
      <c r="H1813" s="1493"/>
      <c r="I1813" s="1493"/>
      <c r="J1813" s="1598"/>
      <c r="N1813" s="1493"/>
    </row>
    <row r="1814" spans="4:14" x14ac:dyDescent="0.2">
      <c r="D1814" s="1493"/>
      <c r="E1814" s="1493"/>
      <c r="F1814" s="1493"/>
      <c r="G1814" s="1493"/>
      <c r="H1814" s="1493"/>
      <c r="I1814" s="1493"/>
      <c r="J1814" s="1598"/>
      <c r="N1814" s="1493"/>
    </row>
    <row r="1815" spans="4:14" x14ac:dyDescent="0.2">
      <c r="D1815" s="1493"/>
      <c r="E1815" s="1493"/>
      <c r="F1815" s="1493"/>
      <c r="G1815" s="1493"/>
      <c r="H1815" s="1493"/>
      <c r="I1815" s="1493"/>
      <c r="J1815" s="1598"/>
      <c r="N1815" s="1493"/>
    </row>
    <row r="1816" spans="4:14" x14ac:dyDescent="0.2">
      <c r="D1816" s="1493"/>
      <c r="E1816" s="1493"/>
      <c r="F1816" s="1493"/>
      <c r="G1816" s="1493"/>
      <c r="H1816" s="1493"/>
      <c r="I1816" s="1493"/>
      <c r="J1816" s="1598"/>
      <c r="N1816" s="1493"/>
    </row>
    <row r="1817" spans="4:14" x14ac:dyDescent="0.2">
      <c r="D1817" s="1493"/>
      <c r="E1817" s="1493"/>
      <c r="F1817" s="1493"/>
      <c r="G1817" s="1493"/>
      <c r="H1817" s="1493"/>
      <c r="I1817" s="1493"/>
      <c r="J1817" s="1598"/>
      <c r="N1817" s="1493"/>
    </row>
    <row r="1818" spans="4:14" x14ac:dyDescent="0.2">
      <c r="D1818" s="1493"/>
      <c r="E1818" s="1493"/>
      <c r="F1818" s="1493"/>
      <c r="G1818" s="1493"/>
      <c r="H1818" s="1493"/>
      <c r="I1818" s="1493"/>
      <c r="J1818" s="1598"/>
      <c r="N1818" s="1493"/>
    </row>
    <row r="1819" spans="4:14" x14ac:dyDescent="0.2">
      <c r="D1819" s="1493"/>
      <c r="E1819" s="1493"/>
      <c r="F1819" s="1493"/>
      <c r="G1819" s="1493"/>
      <c r="H1819" s="1493"/>
      <c r="I1819" s="1493"/>
      <c r="J1819" s="1598"/>
      <c r="N1819" s="1493"/>
    </row>
    <row r="1820" spans="4:14" x14ac:dyDescent="0.2">
      <c r="D1820" s="1493"/>
      <c r="E1820" s="1493"/>
      <c r="F1820" s="1493"/>
      <c r="G1820" s="1493"/>
      <c r="H1820" s="1493"/>
      <c r="I1820" s="1493"/>
      <c r="J1820" s="1598"/>
      <c r="N1820" s="1493"/>
    </row>
    <row r="1821" spans="4:14" x14ac:dyDescent="0.2">
      <c r="D1821" s="1493"/>
      <c r="E1821" s="1493"/>
      <c r="F1821" s="1493"/>
      <c r="G1821" s="1493"/>
      <c r="H1821" s="1493"/>
      <c r="I1821" s="1493"/>
      <c r="J1821" s="1598"/>
      <c r="N1821" s="1493"/>
    </row>
    <row r="1822" spans="4:14" x14ac:dyDescent="0.2">
      <c r="D1822" s="1493"/>
      <c r="E1822" s="1493"/>
      <c r="F1822" s="1493"/>
      <c r="G1822" s="1493"/>
      <c r="H1822" s="1493"/>
      <c r="I1822" s="1493"/>
      <c r="J1822" s="1598"/>
      <c r="N1822" s="1493"/>
    </row>
    <row r="1823" spans="4:14" x14ac:dyDescent="0.2">
      <c r="D1823" s="1493"/>
      <c r="E1823" s="1493"/>
      <c r="F1823" s="1493"/>
      <c r="G1823" s="1493"/>
      <c r="H1823" s="1493"/>
      <c r="I1823" s="1493"/>
      <c r="J1823" s="1598"/>
      <c r="N1823" s="1493"/>
    </row>
    <row r="1824" spans="4:14" x14ac:dyDescent="0.2">
      <c r="D1824" s="1493"/>
      <c r="E1824" s="1493"/>
      <c r="F1824" s="1493"/>
      <c r="G1824" s="1493"/>
      <c r="H1824" s="1493"/>
      <c r="I1824" s="1493"/>
      <c r="J1824" s="1598"/>
      <c r="N1824" s="1493"/>
    </row>
    <row r="1825" spans="4:14" x14ac:dyDescent="0.2">
      <c r="D1825" s="1493"/>
      <c r="E1825" s="1493"/>
      <c r="F1825" s="1493"/>
      <c r="G1825" s="1493"/>
      <c r="H1825" s="1493"/>
      <c r="I1825" s="1493"/>
      <c r="J1825" s="1598"/>
      <c r="N1825" s="1493"/>
    </row>
    <row r="1826" spans="4:14" x14ac:dyDescent="0.2">
      <c r="D1826" s="1493"/>
      <c r="E1826" s="1493"/>
      <c r="F1826" s="1493"/>
      <c r="G1826" s="1493"/>
      <c r="H1826" s="1493"/>
      <c r="I1826" s="1493"/>
      <c r="J1826" s="1598"/>
      <c r="N1826" s="1493"/>
    </row>
    <row r="1827" spans="4:14" x14ac:dyDescent="0.2">
      <c r="D1827" s="1493"/>
      <c r="E1827" s="1493"/>
      <c r="F1827" s="1493"/>
      <c r="G1827" s="1493"/>
      <c r="H1827" s="1493"/>
      <c r="I1827" s="1493"/>
      <c r="J1827" s="1598"/>
      <c r="N1827" s="1493"/>
    </row>
    <row r="1828" spans="4:14" x14ac:dyDescent="0.2">
      <c r="D1828" s="1493"/>
      <c r="E1828" s="1493"/>
      <c r="F1828" s="1493"/>
      <c r="G1828" s="1493"/>
      <c r="H1828" s="1493"/>
      <c r="I1828" s="1493"/>
      <c r="J1828" s="1598"/>
      <c r="N1828" s="1493"/>
    </row>
    <row r="1829" spans="4:14" x14ac:dyDescent="0.2">
      <c r="D1829" s="1493"/>
      <c r="E1829" s="1493"/>
      <c r="F1829" s="1493"/>
      <c r="G1829" s="1493"/>
      <c r="H1829" s="1493"/>
      <c r="I1829" s="1493"/>
      <c r="J1829" s="1598"/>
      <c r="N1829" s="1493"/>
    </row>
    <row r="1830" spans="4:14" x14ac:dyDescent="0.2">
      <c r="D1830" s="1493"/>
      <c r="E1830" s="1493"/>
      <c r="F1830" s="1493"/>
      <c r="G1830" s="1493"/>
      <c r="H1830" s="1493"/>
      <c r="I1830" s="1493"/>
      <c r="J1830" s="1598"/>
      <c r="N1830" s="1493"/>
    </row>
    <row r="1831" spans="4:14" x14ac:dyDescent="0.2">
      <c r="D1831" s="1493"/>
      <c r="E1831" s="1493"/>
      <c r="F1831" s="1493"/>
      <c r="G1831" s="1493"/>
      <c r="H1831" s="1493"/>
      <c r="I1831" s="1493"/>
      <c r="J1831" s="1598"/>
      <c r="N1831" s="1493"/>
    </row>
    <row r="1832" spans="4:14" x14ac:dyDescent="0.2">
      <c r="D1832" s="1493"/>
      <c r="E1832" s="1493"/>
      <c r="F1832" s="1493"/>
      <c r="G1832" s="1493"/>
      <c r="H1832" s="1493"/>
      <c r="I1832" s="1493"/>
      <c r="J1832" s="1598"/>
      <c r="N1832" s="1493"/>
    </row>
    <row r="1833" spans="4:14" x14ac:dyDescent="0.2">
      <c r="D1833" s="1493"/>
      <c r="E1833" s="1493"/>
      <c r="F1833" s="1493"/>
      <c r="G1833" s="1493"/>
      <c r="H1833" s="1493"/>
      <c r="I1833" s="1493"/>
      <c r="J1833" s="1598"/>
      <c r="N1833" s="1493"/>
    </row>
    <row r="1834" spans="4:14" x14ac:dyDescent="0.2">
      <c r="D1834" s="1493"/>
      <c r="E1834" s="1493"/>
      <c r="F1834" s="1493"/>
      <c r="G1834" s="1493"/>
      <c r="H1834" s="1493"/>
      <c r="I1834" s="1493"/>
      <c r="J1834" s="1598"/>
      <c r="N1834" s="1493"/>
    </row>
    <row r="1835" spans="4:14" x14ac:dyDescent="0.2">
      <c r="D1835" s="1493"/>
      <c r="E1835" s="1493"/>
      <c r="F1835" s="1493"/>
      <c r="G1835" s="1493"/>
      <c r="H1835" s="1493"/>
      <c r="I1835" s="1493"/>
      <c r="J1835" s="1598"/>
      <c r="N1835" s="1493"/>
    </row>
    <row r="1836" spans="4:14" x14ac:dyDescent="0.2">
      <c r="D1836" s="1493"/>
      <c r="E1836" s="1493"/>
      <c r="F1836" s="1493"/>
      <c r="G1836" s="1493"/>
      <c r="H1836" s="1493"/>
      <c r="I1836" s="1493"/>
      <c r="J1836" s="1598"/>
      <c r="N1836" s="1493"/>
    </row>
    <row r="1837" spans="4:14" x14ac:dyDescent="0.2">
      <c r="D1837" s="1493"/>
      <c r="E1837" s="1493"/>
      <c r="F1837" s="1493"/>
      <c r="G1837" s="1493"/>
      <c r="H1837" s="1493"/>
      <c r="I1837" s="1493"/>
      <c r="J1837" s="1598"/>
      <c r="N1837" s="1493"/>
    </row>
    <row r="1838" spans="4:14" x14ac:dyDescent="0.2">
      <c r="D1838" s="1493"/>
      <c r="E1838" s="1493"/>
      <c r="F1838" s="1493"/>
      <c r="G1838" s="1493"/>
      <c r="H1838" s="1493"/>
      <c r="I1838" s="1493"/>
      <c r="J1838" s="1598"/>
      <c r="N1838" s="1493"/>
    </row>
    <row r="1839" spans="4:14" x14ac:dyDescent="0.2">
      <c r="D1839" s="1493"/>
      <c r="E1839" s="1493"/>
      <c r="F1839" s="1493"/>
      <c r="G1839" s="1493"/>
      <c r="H1839" s="1493"/>
      <c r="I1839" s="1493"/>
      <c r="J1839" s="1598"/>
      <c r="N1839" s="1493"/>
    </row>
    <row r="1840" spans="4:14" x14ac:dyDescent="0.2">
      <c r="D1840" s="1493"/>
      <c r="E1840" s="1493"/>
      <c r="F1840" s="1493"/>
      <c r="G1840" s="1493"/>
      <c r="H1840" s="1493"/>
      <c r="I1840" s="1493"/>
      <c r="J1840" s="1598"/>
      <c r="N1840" s="1493"/>
    </row>
    <row r="1841" spans="4:14" x14ac:dyDescent="0.2">
      <c r="D1841" s="1493"/>
      <c r="E1841" s="1493"/>
      <c r="F1841" s="1493"/>
      <c r="G1841" s="1493"/>
      <c r="H1841" s="1493"/>
      <c r="I1841" s="1493"/>
      <c r="J1841" s="1598"/>
      <c r="N1841" s="1493"/>
    </row>
    <row r="1842" spans="4:14" x14ac:dyDescent="0.2">
      <c r="D1842" s="1493"/>
      <c r="E1842" s="1493"/>
      <c r="F1842" s="1493"/>
      <c r="G1842" s="1493"/>
      <c r="H1842" s="1493"/>
      <c r="I1842" s="1493"/>
      <c r="J1842" s="1598"/>
      <c r="N1842" s="1493"/>
    </row>
    <row r="1843" spans="4:14" x14ac:dyDescent="0.2">
      <c r="D1843" s="1493"/>
      <c r="E1843" s="1493"/>
      <c r="F1843" s="1493"/>
      <c r="G1843" s="1493"/>
      <c r="H1843" s="1493"/>
      <c r="I1843" s="1493"/>
      <c r="J1843" s="1598"/>
      <c r="N1843" s="1493"/>
    </row>
    <row r="1844" spans="4:14" x14ac:dyDescent="0.2">
      <c r="D1844" s="1493"/>
      <c r="E1844" s="1493"/>
      <c r="F1844" s="1493"/>
      <c r="G1844" s="1493"/>
      <c r="H1844" s="1493"/>
      <c r="I1844" s="1493"/>
      <c r="J1844" s="1598"/>
      <c r="N1844" s="1493"/>
    </row>
    <row r="1845" spans="4:14" x14ac:dyDescent="0.2">
      <c r="D1845" s="1493"/>
      <c r="E1845" s="1493"/>
      <c r="F1845" s="1493"/>
      <c r="G1845" s="1493"/>
      <c r="H1845" s="1493"/>
      <c r="I1845" s="1493"/>
      <c r="J1845" s="1598"/>
      <c r="N1845" s="1493"/>
    </row>
    <row r="1846" spans="4:14" x14ac:dyDescent="0.2">
      <c r="D1846" s="1493"/>
      <c r="E1846" s="1493"/>
      <c r="F1846" s="1493"/>
      <c r="G1846" s="1493"/>
      <c r="H1846" s="1493"/>
      <c r="I1846" s="1493"/>
      <c r="J1846" s="1598"/>
      <c r="N1846" s="1493"/>
    </row>
    <row r="1847" spans="4:14" x14ac:dyDescent="0.2">
      <c r="D1847" s="1493"/>
      <c r="E1847" s="1493"/>
      <c r="F1847" s="1493"/>
      <c r="G1847" s="1493"/>
      <c r="H1847" s="1493"/>
      <c r="I1847" s="1493"/>
      <c r="J1847" s="1598"/>
      <c r="N1847" s="1493"/>
    </row>
    <row r="1848" spans="4:14" x14ac:dyDescent="0.2">
      <c r="D1848" s="1493"/>
      <c r="E1848" s="1493"/>
      <c r="F1848" s="1493"/>
      <c r="G1848" s="1493"/>
      <c r="H1848" s="1493"/>
      <c r="I1848" s="1493"/>
      <c r="J1848" s="1598"/>
      <c r="N1848" s="1493"/>
    </row>
    <row r="1849" spans="4:14" x14ac:dyDescent="0.2">
      <c r="D1849" s="1493"/>
      <c r="E1849" s="1493"/>
      <c r="F1849" s="1493"/>
      <c r="G1849" s="1493"/>
      <c r="H1849" s="1493"/>
      <c r="I1849" s="1493"/>
      <c r="J1849" s="1598"/>
      <c r="N1849" s="1493"/>
    </row>
    <row r="1850" spans="4:14" x14ac:dyDescent="0.2">
      <c r="D1850" s="1493"/>
      <c r="E1850" s="1493"/>
      <c r="F1850" s="1493"/>
      <c r="G1850" s="1493"/>
      <c r="H1850" s="1493"/>
      <c r="I1850" s="1493"/>
      <c r="J1850" s="1598"/>
      <c r="N1850" s="1493"/>
    </row>
    <row r="1851" spans="4:14" x14ac:dyDescent="0.2">
      <c r="D1851" s="1493"/>
      <c r="E1851" s="1493"/>
      <c r="F1851" s="1493"/>
      <c r="G1851" s="1493"/>
      <c r="H1851" s="1493"/>
      <c r="I1851" s="1493"/>
      <c r="J1851" s="1598"/>
      <c r="N1851" s="1493"/>
    </row>
    <row r="1852" spans="4:14" x14ac:dyDescent="0.2">
      <c r="D1852" s="1493"/>
      <c r="E1852" s="1493"/>
      <c r="F1852" s="1493"/>
      <c r="G1852" s="1493"/>
      <c r="H1852" s="1493"/>
      <c r="I1852" s="1493"/>
      <c r="J1852" s="1598"/>
      <c r="N1852" s="1493"/>
    </row>
    <row r="1853" spans="4:14" x14ac:dyDescent="0.2">
      <c r="D1853" s="1493"/>
      <c r="E1853" s="1493"/>
      <c r="F1853" s="1493"/>
      <c r="G1853" s="1493"/>
      <c r="H1853" s="1493"/>
      <c r="I1853" s="1493"/>
      <c r="J1853" s="1598"/>
      <c r="N1853" s="1493"/>
    </row>
    <row r="1854" spans="4:14" x14ac:dyDescent="0.2">
      <c r="D1854" s="1493"/>
      <c r="E1854" s="1493"/>
      <c r="F1854" s="1493"/>
      <c r="G1854" s="1493"/>
      <c r="H1854" s="1493"/>
      <c r="I1854" s="1493"/>
      <c r="J1854" s="1598"/>
      <c r="N1854" s="1493"/>
    </row>
    <row r="1855" spans="4:14" x14ac:dyDescent="0.2">
      <c r="D1855" s="1493"/>
      <c r="E1855" s="1493"/>
      <c r="F1855" s="1493"/>
      <c r="G1855" s="1493"/>
      <c r="H1855" s="1493"/>
      <c r="I1855" s="1493"/>
      <c r="J1855" s="1598"/>
      <c r="N1855" s="1493"/>
    </row>
    <row r="1856" spans="4:14" x14ac:dyDescent="0.2">
      <c r="D1856" s="1493"/>
      <c r="E1856" s="1493"/>
      <c r="F1856" s="1493"/>
      <c r="G1856" s="1493"/>
      <c r="H1856" s="1493"/>
      <c r="I1856" s="1493"/>
      <c r="J1856" s="1598"/>
      <c r="N1856" s="1493"/>
    </row>
    <row r="1857" spans="4:14" x14ac:dyDescent="0.2">
      <c r="D1857" s="1493"/>
      <c r="E1857" s="1493"/>
      <c r="F1857" s="1493"/>
      <c r="G1857" s="1493"/>
      <c r="H1857" s="1493"/>
      <c r="I1857" s="1493"/>
      <c r="J1857" s="1598"/>
      <c r="N1857" s="1493"/>
    </row>
    <row r="1858" spans="4:14" x14ac:dyDescent="0.2">
      <c r="D1858" s="1493"/>
      <c r="E1858" s="1493"/>
      <c r="F1858" s="1493"/>
      <c r="G1858" s="1493"/>
      <c r="H1858" s="1493"/>
      <c r="I1858" s="1493"/>
      <c r="J1858" s="1598"/>
      <c r="N1858" s="1493"/>
    </row>
    <row r="1859" spans="4:14" x14ac:dyDescent="0.2">
      <c r="D1859" s="1493"/>
      <c r="E1859" s="1493"/>
      <c r="F1859" s="1493"/>
      <c r="G1859" s="1493"/>
      <c r="H1859" s="1493"/>
      <c r="I1859" s="1493"/>
      <c r="J1859" s="1598"/>
      <c r="N1859" s="1493"/>
    </row>
    <row r="1860" spans="4:14" x14ac:dyDescent="0.2">
      <c r="D1860" s="1493"/>
      <c r="E1860" s="1493"/>
      <c r="F1860" s="1493"/>
      <c r="G1860" s="1493"/>
      <c r="H1860" s="1493"/>
      <c r="I1860" s="1493"/>
      <c r="J1860" s="1598"/>
      <c r="N1860" s="1493"/>
    </row>
    <row r="1861" spans="4:14" x14ac:dyDescent="0.2">
      <c r="D1861" s="1493"/>
      <c r="E1861" s="1493"/>
      <c r="F1861" s="1493"/>
      <c r="G1861" s="1493"/>
      <c r="H1861" s="1493"/>
      <c r="I1861" s="1493"/>
      <c r="J1861" s="1598"/>
      <c r="N1861" s="1493"/>
    </row>
    <row r="1862" spans="4:14" x14ac:dyDescent="0.2">
      <c r="D1862" s="1493"/>
      <c r="E1862" s="1493"/>
      <c r="F1862" s="1493"/>
      <c r="G1862" s="1493"/>
      <c r="H1862" s="1493"/>
      <c r="I1862" s="1493"/>
      <c r="J1862" s="1598"/>
      <c r="N1862" s="1493"/>
    </row>
    <row r="1863" spans="4:14" x14ac:dyDescent="0.2">
      <c r="D1863" s="1493"/>
      <c r="E1863" s="1493"/>
      <c r="F1863" s="1493"/>
      <c r="G1863" s="1493"/>
      <c r="H1863" s="1493"/>
      <c r="I1863" s="1493"/>
      <c r="J1863" s="1598"/>
      <c r="N1863" s="1493"/>
    </row>
    <row r="1864" spans="4:14" x14ac:dyDescent="0.2">
      <c r="D1864" s="1493"/>
      <c r="E1864" s="1493"/>
      <c r="F1864" s="1493"/>
      <c r="G1864" s="1493"/>
      <c r="H1864" s="1493"/>
      <c r="I1864" s="1493"/>
      <c r="J1864" s="1598"/>
      <c r="N1864" s="1493"/>
    </row>
    <row r="1865" spans="4:14" x14ac:dyDescent="0.2">
      <c r="D1865" s="1493"/>
      <c r="E1865" s="1493"/>
      <c r="F1865" s="1493"/>
      <c r="G1865" s="1493"/>
      <c r="H1865" s="1493"/>
      <c r="I1865" s="1493"/>
      <c r="J1865" s="1598"/>
      <c r="N1865" s="1493"/>
    </row>
    <row r="1866" spans="4:14" x14ac:dyDescent="0.2">
      <c r="D1866" s="1493"/>
      <c r="E1866" s="1493"/>
      <c r="F1866" s="1493"/>
      <c r="G1866" s="1493"/>
      <c r="H1866" s="1493"/>
      <c r="I1866" s="1493"/>
      <c r="J1866" s="1598"/>
      <c r="N1866" s="1493"/>
    </row>
    <row r="1867" spans="4:14" x14ac:dyDescent="0.2">
      <c r="D1867" s="1493"/>
      <c r="E1867" s="1493"/>
      <c r="F1867" s="1493"/>
      <c r="G1867" s="1493"/>
      <c r="H1867" s="1493"/>
      <c r="I1867" s="1493"/>
      <c r="J1867" s="1598"/>
      <c r="N1867" s="1493"/>
    </row>
    <row r="1868" spans="4:14" x14ac:dyDescent="0.2">
      <c r="D1868" s="1493"/>
      <c r="E1868" s="1493"/>
      <c r="F1868" s="1493"/>
      <c r="G1868" s="1493"/>
      <c r="H1868" s="1493"/>
      <c r="I1868" s="1493"/>
      <c r="J1868" s="1598"/>
      <c r="N1868" s="1493"/>
    </row>
    <row r="1869" spans="4:14" x14ac:dyDescent="0.2">
      <c r="D1869" s="1493"/>
      <c r="E1869" s="1493"/>
      <c r="F1869" s="1493"/>
      <c r="G1869" s="1493"/>
      <c r="H1869" s="1493"/>
      <c r="I1869" s="1493"/>
      <c r="J1869" s="1598"/>
      <c r="N1869" s="1493"/>
    </row>
    <row r="1870" spans="4:14" x14ac:dyDescent="0.2">
      <c r="D1870" s="1493"/>
      <c r="E1870" s="1493"/>
      <c r="F1870" s="1493"/>
      <c r="G1870" s="1493"/>
      <c r="H1870" s="1493"/>
      <c r="I1870" s="1493"/>
      <c r="J1870" s="1598"/>
      <c r="N1870" s="1493"/>
    </row>
    <row r="1871" spans="4:14" x14ac:dyDescent="0.2">
      <c r="D1871" s="1493"/>
      <c r="E1871" s="1493"/>
      <c r="F1871" s="1493"/>
      <c r="G1871" s="1493"/>
      <c r="H1871" s="1493"/>
      <c r="I1871" s="1493"/>
      <c r="J1871" s="1598"/>
      <c r="N1871" s="1493"/>
    </row>
    <row r="1872" spans="4:14" x14ac:dyDescent="0.2">
      <c r="D1872" s="1493"/>
      <c r="E1872" s="1493"/>
      <c r="F1872" s="1493"/>
      <c r="G1872" s="1493"/>
      <c r="H1872" s="1493"/>
      <c r="I1872" s="1493"/>
      <c r="J1872" s="1598"/>
      <c r="N1872" s="1493"/>
    </row>
    <row r="1873" spans="4:14" x14ac:dyDescent="0.2">
      <c r="D1873" s="1493"/>
      <c r="E1873" s="1493"/>
      <c r="F1873" s="1493"/>
      <c r="G1873" s="1493"/>
      <c r="H1873" s="1493"/>
      <c r="I1873" s="1493"/>
      <c r="J1873" s="1598"/>
      <c r="N1873" s="1493"/>
    </row>
    <row r="1874" spans="4:14" x14ac:dyDescent="0.2">
      <c r="D1874" s="1493"/>
      <c r="E1874" s="1493"/>
      <c r="F1874" s="1493"/>
      <c r="G1874" s="1493"/>
      <c r="H1874" s="1493"/>
      <c r="I1874" s="1493"/>
      <c r="J1874" s="1598"/>
      <c r="N1874" s="1493"/>
    </row>
    <row r="1875" spans="4:14" x14ac:dyDescent="0.2">
      <c r="D1875" s="1493"/>
      <c r="E1875" s="1493"/>
      <c r="F1875" s="1493"/>
      <c r="G1875" s="1493"/>
      <c r="H1875" s="1493"/>
      <c r="I1875" s="1493"/>
      <c r="J1875" s="1598"/>
      <c r="N1875" s="1493"/>
    </row>
    <row r="1876" spans="4:14" x14ac:dyDescent="0.2">
      <c r="D1876" s="1493"/>
      <c r="E1876" s="1493"/>
      <c r="F1876" s="1493"/>
      <c r="G1876" s="1493"/>
      <c r="H1876" s="1493"/>
      <c r="I1876" s="1493"/>
      <c r="J1876" s="1598"/>
      <c r="N1876" s="1493"/>
    </row>
    <row r="1877" spans="4:14" x14ac:dyDescent="0.2">
      <c r="D1877" s="1493"/>
      <c r="E1877" s="1493"/>
      <c r="F1877" s="1493"/>
      <c r="G1877" s="1493"/>
      <c r="H1877" s="1493"/>
      <c r="I1877" s="1493"/>
      <c r="J1877" s="1598"/>
      <c r="N1877" s="1493"/>
    </row>
    <row r="1878" spans="4:14" x14ac:dyDescent="0.2">
      <c r="D1878" s="1493"/>
      <c r="E1878" s="1493"/>
      <c r="F1878" s="1493"/>
      <c r="G1878" s="1493"/>
      <c r="H1878" s="1493"/>
      <c r="I1878" s="1493"/>
      <c r="J1878" s="1598"/>
      <c r="N1878" s="1493"/>
    </row>
    <row r="1879" spans="4:14" x14ac:dyDescent="0.2">
      <c r="D1879" s="1493"/>
      <c r="E1879" s="1493"/>
      <c r="F1879" s="1493"/>
      <c r="G1879" s="1493"/>
      <c r="H1879" s="1493"/>
      <c r="I1879" s="1493"/>
      <c r="J1879" s="1598"/>
      <c r="N1879" s="1493"/>
    </row>
    <row r="1880" spans="4:14" x14ac:dyDescent="0.2">
      <c r="D1880" s="1493"/>
      <c r="E1880" s="1493"/>
      <c r="F1880" s="1493"/>
      <c r="G1880" s="1493"/>
      <c r="H1880" s="1493"/>
      <c r="I1880" s="1493"/>
      <c r="J1880" s="1598"/>
      <c r="N1880" s="1493"/>
    </row>
    <row r="1881" spans="4:14" x14ac:dyDescent="0.2">
      <c r="D1881" s="1493"/>
      <c r="E1881" s="1493"/>
      <c r="F1881" s="1493"/>
      <c r="G1881" s="1493"/>
      <c r="H1881" s="1493"/>
      <c r="I1881" s="1493"/>
      <c r="J1881" s="1598"/>
      <c r="N1881" s="1493"/>
    </row>
    <row r="1882" spans="4:14" x14ac:dyDescent="0.2">
      <c r="D1882" s="1493"/>
      <c r="E1882" s="1493"/>
      <c r="F1882" s="1493"/>
      <c r="G1882" s="1493"/>
      <c r="H1882" s="1493"/>
      <c r="I1882" s="1493"/>
      <c r="J1882" s="1598"/>
      <c r="N1882" s="1493"/>
    </row>
    <row r="1883" spans="4:14" x14ac:dyDescent="0.2">
      <c r="D1883" s="1493"/>
      <c r="E1883" s="1493"/>
      <c r="F1883" s="1493"/>
      <c r="G1883" s="1493"/>
      <c r="H1883" s="1493"/>
      <c r="I1883" s="1493"/>
      <c r="J1883" s="1598"/>
      <c r="N1883" s="1493"/>
    </row>
    <row r="1884" spans="4:14" x14ac:dyDescent="0.2">
      <c r="D1884" s="1493"/>
      <c r="E1884" s="1493"/>
      <c r="F1884" s="1493"/>
      <c r="G1884" s="1493"/>
      <c r="H1884" s="1493"/>
      <c r="I1884" s="1493"/>
      <c r="J1884" s="1598"/>
      <c r="N1884" s="1493"/>
    </row>
    <row r="1885" spans="4:14" x14ac:dyDescent="0.2">
      <c r="D1885" s="1493"/>
      <c r="E1885" s="1493"/>
      <c r="F1885" s="1493"/>
      <c r="G1885" s="1493"/>
      <c r="H1885" s="1493"/>
      <c r="I1885" s="1493"/>
      <c r="J1885" s="1598"/>
      <c r="N1885" s="1493"/>
    </row>
    <row r="1886" spans="4:14" x14ac:dyDescent="0.2">
      <c r="D1886" s="1493"/>
      <c r="E1886" s="1493"/>
      <c r="F1886" s="1493"/>
      <c r="G1886" s="1493"/>
      <c r="H1886" s="1493"/>
      <c r="I1886" s="1493"/>
      <c r="J1886" s="1598"/>
      <c r="N1886" s="1493"/>
    </row>
    <row r="1887" spans="4:14" x14ac:dyDescent="0.2">
      <c r="D1887" s="1493"/>
      <c r="E1887" s="1493"/>
      <c r="F1887" s="1493"/>
      <c r="G1887" s="1493"/>
      <c r="H1887" s="1493"/>
      <c r="I1887" s="1493"/>
      <c r="J1887" s="1598"/>
      <c r="N1887" s="1493"/>
    </row>
    <row r="1888" spans="4:14" x14ac:dyDescent="0.2">
      <c r="D1888" s="1493"/>
      <c r="E1888" s="1493"/>
      <c r="F1888" s="1493"/>
      <c r="G1888" s="1493"/>
      <c r="H1888" s="1493"/>
      <c r="I1888" s="1493"/>
      <c r="J1888" s="1598"/>
      <c r="N1888" s="1493"/>
    </row>
    <row r="1889" spans="4:14" x14ac:dyDescent="0.2">
      <c r="D1889" s="1493"/>
      <c r="E1889" s="1493"/>
      <c r="F1889" s="1493"/>
      <c r="G1889" s="1493"/>
      <c r="H1889" s="1493"/>
      <c r="I1889" s="1493"/>
      <c r="J1889" s="1598"/>
      <c r="N1889" s="1493"/>
    </row>
    <row r="1890" spans="4:14" x14ac:dyDescent="0.2">
      <c r="D1890" s="1493"/>
      <c r="E1890" s="1493"/>
      <c r="F1890" s="1493"/>
      <c r="G1890" s="1493"/>
      <c r="H1890" s="1493"/>
      <c r="I1890" s="1493"/>
      <c r="J1890" s="1598"/>
      <c r="N1890" s="1493"/>
    </row>
    <row r="1891" spans="4:14" x14ac:dyDescent="0.2">
      <c r="D1891" s="1493"/>
      <c r="E1891" s="1493"/>
      <c r="F1891" s="1493"/>
      <c r="G1891" s="1493"/>
      <c r="H1891" s="1493"/>
      <c r="I1891" s="1493"/>
      <c r="J1891" s="1598"/>
      <c r="N1891" s="1493"/>
    </row>
    <row r="1892" spans="4:14" x14ac:dyDescent="0.2">
      <c r="D1892" s="1493"/>
      <c r="E1892" s="1493"/>
      <c r="F1892" s="1493"/>
      <c r="G1892" s="1493"/>
      <c r="H1892" s="1493"/>
      <c r="I1892" s="1493"/>
      <c r="J1892" s="1598"/>
      <c r="N1892" s="1493"/>
    </row>
    <row r="1893" spans="4:14" x14ac:dyDescent="0.2">
      <c r="D1893" s="1493"/>
      <c r="E1893" s="1493"/>
      <c r="F1893" s="1493"/>
      <c r="G1893" s="1493"/>
      <c r="H1893" s="1493"/>
      <c r="I1893" s="1493"/>
      <c r="J1893" s="1598"/>
      <c r="N1893" s="1493"/>
    </row>
    <row r="1894" spans="4:14" x14ac:dyDescent="0.2">
      <c r="D1894" s="1493"/>
      <c r="E1894" s="1493"/>
      <c r="F1894" s="1493"/>
      <c r="G1894" s="1493"/>
      <c r="H1894" s="1493"/>
      <c r="I1894" s="1493"/>
      <c r="J1894" s="1598"/>
      <c r="N1894" s="1493"/>
    </row>
    <row r="1895" spans="4:14" x14ac:dyDescent="0.2">
      <c r="D1895" s="1493"/>
      <c r="E1895" s="1493"/>
      <c r="F1895" s="1493"/>
      <c r="G1895" s="1493"/>
      <c r="H1895" s="1493"/>
      <c r="I1895" s="1493"/>
      <c r="J1895" s="1598"/>
      <c r="N1895" s="1493"/>
    </row>
    <row r="1896" spans="4:14" x14ac:dyDescent="0.2">
      <c r="D1896" s="1493"/>
      <c r="E1896" s="1493"/>
      <c r="F1896" s="1493"/>
      <c r="G1896" s="1493"/>
      <c r="H1896" s="1493"/>
      <c r="I1896" s="1493"/>
      <c r="J1896" s="1598"/>
      <c r="N1896" s="1493"/>
    </row>
    <row r="1897" spans="4:14" x14ac:dyDescent="0.2">
      <c r="D1897" s="1493"/>
      <c r="E1897" s="1493"/>
      <c r="F1897" s="1493"/>
      <c r="G1897" s="1493"/>
      <c r="H1897" s="1493"/>
      <c r="I1897" s="1493"/>
      <c r="J1897" s="1598"/>
      <c r="N1897" s="1493"/>
    </row>
    <row r="1898" spans="4:14" x14ac:dyDescent="0.2">
      <c r="D1898" s="1493"/>
      <c r="E1898" s="1493"/>
      <c r="F1898" s="1493"/>
      <c r="G1898" s="1493"/>
      <c r="H1898" s="1493"/>
      <c r="I1898" s="1493"/>
      <c r="J1898" s="1598"/>
      <c r="N1898" s="1493"/>
    </row>
    <row r="1899" spans="4:14" x14ac:dyDescent="0.2">
      <c r="D1899" s="1493"/>
      <c r="E1899" s="1493"/>
      <c r="F1899" s="1493"/>
      <c r="G1899" s="1493"/>
      <c r="H1899" s="1493"/>
      <c r="I1899" s="1493"/>
      <c r="J1899" s="1598"/>
      <c r="N1899" s="1493"/>
    </row>
    <row r="1900" spans="4:14" x14ac:dyDescent="0.2">
      <c r="D1900" s="1493"/>
      <c r="E1900" s="1493"/>
      <c r="F1900" s="1493"/>
      <c r="G1900" s="1493"/>
      <c r="H1900" s="1493"/>
      <c r="I1900" s="1493"/>
      <c r="J1900" s="1598"/>
      <c r="N1900" s="1493"/>
    </row>
    <row r="1901" spans="4:14" x14ac:dyDescent="0.2">
      <c r="D1901" s="1493"/>
      <c r="E1901" s="1493"/>
      <c r="F1901" s="1493"/>
      <c r="G1901" s="1493"/>
      <c r="H1901" s="1493"/>
      <c r="I1901" s="1493"/>
      <c r="J1901" s="1598"/>
      <c r="N1901" s="1493"/>
    </row>
    <row r="1902" spans="4:14" x14ac:dyDescent="0.2">
      <c r="D1902" s="1493"/>
      <c r="E1902" s="1493"/>
      <c r="F1902" s="1493"/>
      <c r="G1902" s="1493"/>
      <c r="H1902" s="1493"/>
      <c r="I1902" s="1493"/>
      <c r="J1902" s="1598"/>
      <c r="N1902" s="1493"/>
    </row>
    <row r="1903" spans="4:14" x14ac:dyDescent="0.2">
      <c r="D1903" s="1493"/>
      <c r="E1903" s="1493"/>
      <c r="F1903" s="1493"/>
      <c r="G1903" s="1493"/>
      <c r="H1903" s="1493"/>
      <c r="I1903" s="1493"/>
      <c r="J1903" s="1598"/>
      <c r="N1903" s="1493"/>
    </row>
    <row r="1904" spans="4:14" x14ac:dyDescent="0.2">
      <c r="D1904" s="1493"/>
      <c r="E1904" s="1493"/>
      <c r="F1904" s="1493"/>
      <c r="G1904" s="1493"/>
      <c r="H1904" s="1493"/>
      <c r="I1904" s="1493"/>
      <c r="J1904" s="1598"/>
      <c r="N1904" s="1493"/>
    </row>
    <row r="1905" spans="4:14" x14ac:dyDescent="0.2">
      <c r="D1905" s="1493"/>
      <c r="E1905" s="1493"/>
      <c r="F1905" s="1493"/>
      <c r="G1905" s="1493"/>
      <c r="H1905" s="1493"/>
      <c r="I1905" s="1493"/>
      <c r="J1905" s="1598"/>
      <c r="N1905" s="1493"/>
    </row>
    <row r="1906" spans="4:14" x14ac:dyDescent="0.2">
      <c r="D1906" s="1493"/>
      <c r="E1906" s="1493"/>
      <c r="F1906" s="1493"/>
      <c r="G1906" s="1493"/>
      <c r="H1906" s="1493"/>
      <c r="I1906" s="1493"/>
      <c r="J1906" s="1598"/>
      <c r="N1906" s="1493"/>
    </row>
    <row r="1907" spans="4:14" x14ac:dyDescent="0.2">
      <c r="D1907" s="1493"/>
      <c r="E1907" s="1493"/>
      <c r="F1907" s="1493"/>
      <c r="G1907" s="1493"/>
      <c r="H1907" s="1493"/>
      <c r="I1907" s="1493"/>
      <c r="J1907" s="1598"/>
      <c r="N1907" s="1493"/>
    </row>
    <row r="1908" spans="4:14" x14ac:dyDescent="0.2">
      <c r="D1908" s="1493"/>
      <c r="E1908" s="1493"/>
      <c r="F1908" s="1493"/>
      <c r="G1908" s="1493"/>
      <c r="H1908" s="1493"/>
      <c r="I1908" s="1493"/>
      <c r="J1908" s="1598"/>
      <c r="N1908" s="1493"/>
    </row>
    <row r="1909" spans="4:14" x14ac:dyDescent="0.2">
      <c r="D1909" s="1493"/>
      <c r="E1909" s="1493"/>
      <c r="F1909" s="1493"/>
      <c r="G1909" s="1493"/>
      <c r="H1909" s="1493"/>
      <c r="I1909" s="1493"/>
      <c r="J1909" s="1598"/>
      <c r="N1909" s="1493"/>
    </row>
    <row r="1910" spans="4:14" x14ac:dyDescent="0.2">
      <c r="D1910" s="1493"/>
      <c r="E1910" s="1493"/>
      <c r="F1910" s="1493"/>
      <c r="G1910" s="1493"/>
      <c r="H1910" s="1493"/>
      <c r="I1910" s="1493"/>
      <c r="J1910" s="1598"/>
      <c r="N1910" s="1493"/>
    </row>
    <row r="1911" spans="4:14" x14ac:dyDescent="0.2">
      <c r="D1911" s="1493"/>
      <c r="E1911" s="1493"/>
      <c r="F1911" s="1493"/>
      <c r="G1911" s="1493"/>
      <c r="H1911" s="1493"/>
      <c r="I1911" s="1493"/>
      <c r="J1911" s="1598"/>
      <c r="N1911" s="1493"/>
    </row>
    <row r="1912" spans="4:14" x14ac:dyDescent="0.2">
      <c r="D1912" s="1493"/>
      <c r="E1912" s="1493"/>
      <c r="F1912" s="1493"/>
      <c r="G1912" s="1493"/>
      <c r="H1912" s="1493"/>
      <c r="I1912" s="1493"/>
      <c r="J1912" s="1598"/>
      <c r="N1912" s="1493"/>
    </row>
    <row r="1913" spans="4:14" x14ac:dyDescent="0.2">
      <c r="D1913" s="1493"/>
      <c r="E1913" s="1493"/>
      <c r="F1913" s="1493"/>
      <c r="G1913" s="1493"/>
      <c r="H1913" s="1493"/>
      <c r="I1913" s="1493"/>
      <c r="J1913" s="1598"/>
      <c r="N1913" s="1493"/>
    </row>
    <row r="1914" spans="4:14" x14ac:dyDescent="0.2">
      <c r="D1914" s="1493"/>
      <c r="E1914" s="1493"/>
      <c r="F1914" s="1493"/>
      <c r="G1914" s="1493"/>
      <c r="H1914" s="1493"/>
      <c r="I1914" s="1493"/>
      <c r="J1914" s="1598"/>
      <c r="N1914" s="1493"/>
    </row>
    <row r="1915" spans="4:14" x14ac:dyDescent="0.2">
      <c r="D1915" s="1493"/>
      <c r="E1915" s="1493"/>
      <c r="F1915" s="1493"/>
      <c r="G1915" s="1493"/>
      <c r="H1915" s="1493"/>
      <c r="I1915" s="1493"/>
      <c r="J1915" s="1598"/>
      <c r="N1915" s="1493"/>
    </row>
    <row r="1916" spans="4:14" x14ac:dyDescent="0.2">
      <c r="D1916" s="1493"/>
      <c r="E1916" s="1493"/>
      <c r="F1916" s="1493"/>
      <c r="G1916" s="1493"/>
      <c r="H1916" s="1493"/>
      <c r="I1916" s="1493"/>
      <c r="J1916" s="1598"/>
      <c r="N1916" s="1493"/>
    </row>
    <row r="1917" spans="4:14" x14ac:dyDescent="0.2">
      <c r="D1917" s="1493"/>
      <c r="E1917" s="1493"/>
      <c r="F1917" s="1493"/>
      <c r="G1917" s="1493"/>
      <c r="H1917" s="1493"/>
      <c r="I1917" s="1493"/>
      <c r="J1917" s="1598"/>
      <c r="N1917" s="1493"/>
    </row>
    <row r="1918" spans="4:14" x14ac:dyDescent="0.2">
      <c r="D1918" s="1493"/>
      <c r="E1918" s="1493"/>
      <c r="F1918" s="1493"/>
      <c r="G1918" s="1493"/>
      <c r="H1918" s="1493"/>
      <c r="I1918" s="1493"/>
      <c r="J1918" s="1598"/>
      <c r="N1918" s="1493"/>
    </row>
    <row r="1919" spans="4:14" x14ac:dyDescent="0.2">
      <c r="D1919" s="1493"/>
      <c r="E1919" s="1493"/>
      <c r="F1919" s="1493"/>
      <c r="G1919" s="1493"/>
      <c r="H1919" s="1493"/>
      <c r="I1919" s="1493"/>
      <c r="J1919" s="1598"/>
      <c r="N1919" s="1493"/>
    </row>
    <row r="1920" spans="4:14" x14ac:dyDescent="0.2">
      <c r="D1920" s="1493"/>
      <c r="E1920" s="1493"/>
      <c r="F1920" s="1493"/>
      <c r="G1920" s="1493"/>
      <c r="H1920" s="1493"/>
      <c r="I1920" s="1493"/>
      <c r="J1920" s="1598"/>
      <c r="N1920" s="1493"/>
    </row>
    <row r="1921" spans="4:14" x14ac:dyDescent="0.2">
      <c r="D1921" s="1493"/>
      <c r="E1921" s="1493"/>
      <c r="F1921" s="1493"/>
      <c r="G1921" s="1493"/>
      <c r="H1921" s="1493"/>
      <c r="I1921" s="1493"/>
      <c r="J1921" s="1598"/>
      <c r="N1921" s="1493"/>
    </row>
    <row r="1922" spans="4:14" x14ac:dyDescent="0.2">
      <c r="D1922" s="1493"/>
      <c r="E1922" s="1493"/>
      <c r="F1922" s="1493"/>
      <c r="G1922" s="1493"/>
      <c r="H1922" s="1493"/>
      <c r="I1922" s="1493"/>
      <c r="J1922" s="1598"/>
      <c r="N1922" s="1493"/>
    </row>
    <row r="1923" spans="4:14" x14ac:dyDescent="0.2">
      <c r="D1923" s="1493"/>
      <c r="E1923" s="1493"/>
      <c r="F1923" s="1493"/>
      <c r="G1923" s="1493"/>
      <c r="H1923" s="1493"/>
      <c r="I1923" s="1493"/>
      <c r="J1923" s="1598"/>
      <c r="N1923" s="1493"/>
    </row>
    <row r="1924" spans="4:14" x14ac:dyDescent="0.2">
      <c r="D1924" s="1493"/>
      <c r="E1924" s="1493"/>
      <c r="F1924" s="1493"/>
      <c r="G1924" s="1493"/>
      <c r="H1924" s="1493"/>
      <c r="I1924" s="1493"/>
      <c r="J1924" s="1598"/>
      <c r="N1924" s="1493"/>
    </row>
    <row r="1925" spans="4:14" x14ac:dyDescent="0.2">
      <c r="D1925" s="1493"/>
      <c r="E1925" s="1493"/>
      <c r="F1925" s="1493"/>
      <c r="G1925" s="1493"/>
      <c r="H1925" s="1493"/>
      <c r="I1925" s="1493"/>
      <c r="J1925" s="1598"/>
      <c r="N1925" s="1493"/>
    </row>
    <row r="1926" spans="4:14" x14ac:dyDescent="0.2">
      <c r="D1926" s="1493"/>
      <c r="E1926" s="1493"/>
      <c r="F1926" s="1493"/>
      <c r="G1926" s="1493"/>
      <c r="H1926" s="1493"/>
      <c r="I1926" s="1493"/>
      <c r="J1926" s="1598"/>
      <c r="N1926" s="1493"/>
    </row>
    <row r="1927" spans="4:14" x14ac:dyDescent="0.2">
      <c r="D1927" s="1493"/>
      <c r="E1927" s="1493"/>
      <c r="F1927" s="1493"/>
      <c r="G1927" s="1493"/>
      <c r="H1927" s="1493"/>
      <c r="I1927" s="1493"/>
      <c r="J1927" s="1598"/>
      <c r="N1927" s="1493"/>
    </row>
    <row r="1928" spans="4:14" x14ac:dyDescent="0.2">
      <c r="D1928" s="1493"/>
      <c r="E1928" s="1493"/>
      <c r="F1928" s="1493"/>
      <c r="G1928" s="1493"/>
      <c r="H1928" s="1493"/>
      <c r="I1928" s="1493"/>
      <c r="J1928" s="1598"/>
      <c r="N1928" s="1493"/>
    </row>
    <row r="1929" spans="4:14" x14ac:dyDescent="0.2">
      <c r="D1929" s="1493"/>
      <c r="E1929" s="1493"/>
      <c r="F1929" s="1493"/>
      <c r="G1929" s="1493"/>
      <c r="H1929" s="1493"/>
      <c r="I1929" s="1493"/>
      <c r="J1929" s="1598"/>
      <c r="N1929" s="1493"/>
    </row>
    <row r="1930" spans="4:14" x14ac:dyDescent="0.2">
      <c r="D1930" s="1493"/>
      <c r="E1930" s="1493"/>
      <c r="F1930" s="1493"/>
      <c r="G1930" s="1493"/>
      <c r="H1930" s="1493"/>
      <c r="I1930" s="1493"/>
      <c r="J1930" s="1598"/>
      <c r="N1930" s="1493"/>
    </row>
    <row r="1931" spans="4:14" x14ac:dyDescent="0.2">
      <c r="D1931" s="1493"/>
      <c r="E1931" s="1493"/>
      <c r="F1931" s="1493"/>
      <c r="G1931" s="1493"/>
      <c r="H1931" s="1493"/>
      <c r="I1931" s="1493"/>
      <c r="J1931" s="1598"/>
      <c r="N1931" s="1493"/>
    </row>
    <row r="1932" spans="4:14" x14ac:dyDescent="0.2">
      <c r="D1932" s="1493"/>
      <c r="E1932" s="1493"/>
      <c r="F1932" s="1493"/>
      <c r="G1932" s="1493"/>
      <c r="H1932" s="1493"/>
      <c r="I1932" s="1493"/>
      <c r="J1932" s="1598"/>
      <c r="N1932" s="1493"/>
    </row>
    <row r="1933" spans="4:14" x14ac:dyDescent="0.2">
      <c r="D1933" s="1493"/>
      <c r="E1933" s="1493"/>
      <c r="F1933" s="1493"/>
      <c r="G1933" s="1493"/>
      <c r="H1933" s="1493"/>
      <c r="I1933" s="1493"/>
      <c r="J1933" s="1598"/>
      <c r="N1933" s="1493"/>
    </row>
    <row r="1934" spans="4:14" x14ac:dyDescent="0.2">
      <c r="D1934" s="1493"/>
      <c r="E1934" s="1493"/>
      <c r="F1934" s="1493"/>
      <c r="G1934" s="1493"/>
      <c r="H1934" s="1493"/>
      <c r="I1934" s="1493"/>
      <c r="J1934" s="1598"/>
      <c r="N1934" s="1493"/>
    </row>
    <row r="1935" spans="4:14" x14ac:dyDescent="0.2">
      <c r="D1935" s="1493"/>
      <c r="E1935" s="1493"/>
      <c r="F1935" s="1493"/>
      <c r="G1935" s="1493"/>
      <c r="H1935" s="1493"/>
      <c r="I1935" s="1493"/>
      <c r="J1935" s="1598"/>
      <c r="N1935" s="1493"/>
    </row>
    <row r="1936" spans="4:14" x14ac:dyDescent="0.2">
      <c r="D1936" s="1493"/>
      <c r="E1936" s="1493"/>
      <c r="F1936" s="1493"/>
      <c r="G1936" s="1493"/>
      <c r="H1936" s="1493"/>
      <c r="I1936" s="1493"/>
      <c r="J1936" s="1598"/>
      <c r="N1936" s="1493"/>
    </row>
    <row r="1937" spans="4:14" x14ac:dyDescent="0.2">
      <c r="D1937" s="1493"/>
      <c r="E1937" s="1493"/>
      <c r="F1937" s="1493"/>
      <c r="G1937" s="1493"/>
      <c r="H1937" s="1493"/>
      <c r="I1937" s="1493"/>
      <c r="J1937" s="1598"/>
      <c r="N1937" s="1493"/>
    </row>
    <row r="1938" spans="4:14" x14ac:dyDescent="0.2">
      <c r="D1938" s="1493"/>
      <c r="E1938" s="1493"/>
      <c r="F1938" s="1493"/>
      <c r="G1938" s="1493"/>
      <c r="H1938" s="1493"/>
      <c r="I1938" s="1493"/>
      <c r="J1938" s="1598"/>
      <c r="N1938" s="1493"/>
    </row>
    <row r="1939" spans="4:14" x14ac:dyDescent="0.2">
      <c r="D1939" s="1493"/>
      <c r="E1939" s="1493"/>
      <c r="F1939" s="1493"/>
      <c r="G1939" s="1493"/>
      <c r="H1939" s="1493"/>
      <c r="I1939" s="1493"/>
      <c r="J1939" s="1598"/>
      <c r="N1939" s="1493"/>
    </row>
    <row r="1940" spans="4:14" x14ac:dyDescent="0.2">
      <c r="D1940" s="1493"/>
      <c r="E1940" s="1493"/>
      <c r="F1940" s="1493"/>
      <c r="G1940" s="1493"/>
      <c r="H1940" s="1493"/>
      <c r="I1940" s="1493"/>
      <c r="J1940" s="1598"/>
      <c r="N1940" s="1493"/>
    </row>
    <row r="1941" spans="4:14" x14ac:dyDescent="0.2">
      <c r="D1941" s="1493"/>
      <c r="E1941" s="1493"/>
      <c r="F1941" s="1493"/>
      <c r="G1941" s="1493"/>
      <c r="H1941" s="1493"/>
      <c r="I1941" s="1493"/>
      <c r="J1941" s="1598"/>
      <c r="N1941" s="1493"/>
    </row>
    <row r="1942" spans="4:14" x14ac:dyDescent="0.2">
      <c r="D1942" s="1493"/>
      <c r="E1942" s="1493"/>
      <c r="F1942" s="1493"/>
      <c r="G1942" s="1493"/>
      <c r="H1942" s="1493"/>
      <c r="I1942" s="1493"/>
      <c r="J1942" s="1598"/>
      <c r="N1942" s="1493"/>
    </row>
    <row r="1943" spans="4:14" x14ac:dyDescent="0.2">
      <c r="D1943" s="1493"/>
      <c r="E1943" s="1493"/>
      <c r="F1943" s="1493"/>
      <c r="G1943" s="1493"/>
      <c r="H1943" s="1493"/>
      <c r="I1943" s="1493"/>
      <c r="J1943" s="1598"/>
      <c r="N1943" s="1493"/>
    </row>
    <row r="1944" spans="4:14" x14ac:dyDescent="0.2">
      <c r="D1944" s="1493"/>
      <c r="E1944" s="1493"/>
      <c r="F1944" s="1493"/>
      <c r="G1944" s="1493"/>
      <c r="H1944" s="1493"/>
      <c r="I1944" s="1493"/>
      <c r="J1944" s="1598"/>
      <c r="N1944" s="1493"/>
    </row>
    <row r="1945" spans="4:14" x14ac:dyDescent="0.2">
      <c r="D1945" s="1493"/>
      <c r="E1945" s="1493"/>
      <c r="F1945" s="1493"/>
      <c r="G1945" s="1493"/>
      <c r="H1945" s="1493"/>
      <c r="I1945" s="1493"/>
      <c r="J1945" s="1598"/>
      <c r="N1945" s="1493"/>
    </row>
    <row r="1946" spans="4:14" x14ac:dyDescent="0.2">
      <c r="D1946" s="1493"/>
      <c r="E1946" s="1493"/>
      <c r="F1946" s="1493"/>
      <c r="G1946" s="1493"/>
      <c r="H1946" s="1493"/>
      <c r="I1946" s="1493"/>
      <c r="J1946" s="1598"/>
      <c r="N1946" s="1493"/>
    </row>
    <row r="1947" spans="4:14" x14ac:dyDescent="0.2">
      <c r="D1947" s="1493"/>
      <c r="E1947" s="1493"/>
      <c r="F1947" s="1493"/>
      <c r="G1947" s="1493"/>
      <c r="H1947" s="1493"/>
      <c r="I1947" s="1493"/>
      <c r="J1947" s="1598"/>
      <c r="N1947" s="1493"/>
    </row>
    <row r="1948" spans="4:14" x14ac:dyDescent="0.2">
      <c r="D1948" s="1493"/>
      <c r="E1948" s="1493"/>
      <c r="F1948" s="1493"/>
      <c r="G1948" s="1493"/>
      <c r="H1948" s="1493"/>
      <c r="I1948" s="1493"/>
      <c r="J1948" s="1598"/>
      <c r="N1948" s="1493"/>
    </row>
    <row r="1949" spans="4:14" x14ac:dyDescent="0.2">
      <c r="D1949" s="1493"/>
      <c r="E1949" s="1493"/>
      <c r="F1949" s="1493"/>
      <c r="G1949" s="1493"/>
      <c r="H1949" s="1493"/>
      <c r="I1949" s="1493"/>
      <c r="J1949" s="1598"/>
      <c r="N1949" s="1493"/>
    </row>
    <row r="1950" spans="4:14" x14ac:dyDescent="0.2">
      <c r="D1950" s="1493"/>
      <c r="E1950" s="1493"/>
      <c r="F1950" s="1493"/>
      <c r="G1950" s="1493"/>
      <c r="H1950" s="1493"/>
      <c r="I1950" s="1493"/>
      <c r="J1950" s="1598"/>
      <c r="N1950" s="1493"/>
    </row>
    <row r="1951" spans="4:14" x14ac:dyDescent="0.2">
      <c r="D1951" s="1493"/>
      <c r="E1951" s="1493"/>
      <c r="F1951" s="1493"/>
      <c r="G1951" s="1493"/>
      <c r="H1951" s="1493"/>
      <c r="I1951" s="1493"/>
      <c r="J1951" s="1598"/>
      <c r="N1951" s="1493"/>
    </row>
    <row r="1952" spans="4:14" x14ac:dyDescent="0.2">
      <c r="D1952" s="1493"/>
      <c r="E1952" s="1493"/>
      <c r="F1952" s="1493"/>
      <c r="G1952" s="1493"/>
      <c r="H1952" s="1493"/>
      <c r="I1952" s="1493"/>
      <c r="J1952" s="1598"/>
      <c r="N1952" s="1493"/>
    </row>
    <row r="1953" spans="4:14" x14ac:dyDescent="0.2">
      <c r="D1953" s="1493"/>
      <c r="E1953" s="1493"/>
      <c r="F1953" s="1493"/>
      <c r="G1953" s="1493"/>
      <c r="H1953" s="1493"/>
      <c r="I1953" s="1493"/>
      <c r="J1953" s="1598"/>
      <c r="N1953" s="1493"/>
    </row>
    <row r="1954" spans="4:14" x14ac:dyDescent="0.2">
      <c r="D1954" s="1493"/>
      <c r="E1954" s="1493"/>
      <c r="F1954" s="1493"/>
      <c r="G1954" s="1493"/>
      <c r="H1954" s="1493"/>
      <c r="I1954" s="1493"/>
      <c r="J1954" s="1598"/>
      <c r="N1954" s="1493"/>
    </row>
    <row r="1955" spans="4:14" x14ac:dyDescent="0.2">
      <c r="D1955" s="1493"/>
      <c r="E1955" s="1493"/>
      <c r="F1955" s="1493"/>
      <c r="G1955" s="1493"/>
      <c r="H1955" s="1493"/>
      <c r="I1955" s="1493"/>
      <c r="J1955" s="1598"/>
      <c r="N1955" s="1493"/>
    </row>
    <row r="1956" spans="4:14" x14ac:dyDescent="0.2">
      <c r="D1956" s="1493"/>
      <c r="E1956" s="1493"/>
      <c r="F1956" s="1493"/>
      <c r="G1956" s="1493"/>
      <c r="H1956" s="1493"/>
      <c r="I1956" s="1493"/>
      <c r="J1956" s="1598"/>
      <c r="N1956" s="1493"/>
    </row>
    <row r="1957" spans="4:14" x14ac:dyDescent="0.2">
      <c r="D1957" s="1493"/>
      <c r="E1957" s="1493"/>
      <c r="F1957" s="1493"/>
      <c r="G1957" s="1493"/>
      <c r="H1957" s="1493"/>
      <c r="I1957" s="1493"/>
      <c r="J1957" s="1598"/>
      <c r="N1957" s="1493"/>
    </row>
    <row r="1958" spans="4:14" x14ac:dyDescent="0.2">
      <c r="D1958" s="1493"/>
      <c r="E1958" s="1493"/>
      <c r="F1958" s="1493"/>
      <c r="G1958" s="1493"/>
      <c r="H1958" s="1493"/>
      <c r="I1958" s="1493"/>
      <c r="J1958" s="1598"/>
      <c r="N1958" s="1493"/>
    </row>
    <row r="1959" spans="4:14" x14ac:dyDescent="0.2">
      <c r="D1959" s="1493"/>
      <c r="E1959" s="1493"/>
      <c r="F1959" s="1493"/>
      <c r="G1959" s="1493"/>
      <c r="H1959" s="1493"/>
      <c r="I1959" s="1493"/>
      <c r="J1959" s="1598"/>
      <c r="N1959" s="1493"/>
    </row>
    <row r="1960" spans="4:14" x14ac:dyDescent="0.2">
      <c r="D1960" s="1493"/>
      <c r="E1960" s="1493"/>
      <c r="F1960" s="1493"/>
      <c r="G1960" s="1493"/>
      <c r="H1960" s="1493"/>
      <c r="I1960" s="1493"/>
      <c r="J1960" s="1598"/>
      <c r="N1960" s="1493"/>
    </row>
    <row r="1961" spans="4:14" x14ac:dyDescent="0.2">
      <c r="D1961" s="1493"/>
      <c r="E1961" s="1493"/>
      <c r="F1961" s="1493"/>
      <c r="G1961" s="1493"/>
      <c r="H1961" s="1493"/>
      <c r="I1961" s="1493"/>
      <c r="J1961" s="1598"/>
      <c r="N1961" s="1493"/>
    </row>
    <row r="1962" spans="4:14" x14ac:dyDescent="0.2">
      <c r="D1962" s="1493"/>
      <c r="E1962" s="1493"/>
      <c r="F1962" s="1493"/>
      <c r="G1962" s="1493"/>
      <c r="H1962" s="1493"/>
      <c r="I1962" s="1493"/>
      <c r="J1962" s="1598"/>
      <c r="N1962" s="1493"/>
    </row>
    <row r="1963" spans="4:14" x14ac:dyDescent="0.2">
      <c r="D1963" s="1493"/>
      <c r="E1963" s="1493"/>
      <c r="F1963" s="1493"/>
      <c r="G1963" s="1493"/>
      <c r="H1963" s="1493"/>
      <c r="I1963" s="1493"/>
      <c r="J1963" s="1598"/>
      <c r="N1963" s="1493"/>
    </row>
    <row r="1964" spans="4:14" x14ac:dyDescent="0.2">
      <c r="D1964" s="1493"/>
      <c r="E1964" s="1493"/>
      <c r="F1964" s="1493"/>
      <c r="G1964" s="1493"/>
      <c r="H1964" s="1493"/>
      <c r="I1964" s="1493"/>
      <c r="J1964" s="1598"/>
      <c r="N1964" s="1493"/>
    </row>
    <row r="1965" spans="4:14" x14ac:dyDescent="0.2">
      <c r="D1965" s="1493"/>
      <c r="E1965" s="1493"/>
      <c r="F1965" s="1493"/>
      <c r="G1965" s="1493"/>
      <c r="H1965" s="1493"/>
      <c r="I1965" s="1493"/>
      <c r="J1965" s="1598"/>
      <c r="N1965" s="1493"/>
    </row>
    <row r="1966" spans="4:14" x14ac:dyDescent="0.2">
      <c r="D1966" s="1493"/>
      <c r="E1966" s="1493"/>
      <c r="F1966" s="1493"/>
      <c r="G1966" s="1493"/>
      <c r="H1966" s="1493"/>
      <c r="I1966" s="1493"/>
      <c r="J1966" s="1598"/>
      <c r="N1966" s="1493"/>
    </row>
    <row r="1967" spans="4:14" x14ac:dyDescent="0.2">
      <c r="D1967" s="1493"/>
      <c r="E1967" s="1493"/>
      <c r="F1967" s="1493"/>
      <c r="G1967" s="1493"/>
      <c r="H1967" s="1493"/>
      <c r="I1967" s="1493"/>
      <c r="J1967" s="1598"/>
      <c r="N1967" s="1493"/>
    </row>
    <row r="1968" spans="4:14" x14ac:dyDescent="0.2">
      <c r="D1968" s="1493"/>
      <c r="E1968" s="1493"/>
      <c r="F1968" s="1493"/>
      <c r="G1968" s="1493"/>
      <c r="H1968" s="1493"/>
      <c r="I1968" s="1493"/>
      <c r="J1968" s="1598"/>
      <c r="N1968" s="1493"/>
    </row>
    <row r="1969" spans="4:14" x14ac:dyDescent="0.2">
      <c r="D1969" s="1493"/>
      <c r="E1969" s="1493"/>
      <c r="F1969" s="1493"/>
      <c r="G1969" s="1493"/>
      <c r="H1969" s="1493"/>
      <c r="I1969" s="1493"/>
      <c r="J1969" s="1598"/>
      <c r="N1969" s="1493"/>
    </row>
    <row r="1970" spans="4:14" x14ac:dyDescent="0.2">
      <c r="D1970" s="1493"/>
      <c r="E1970" s="1493"/>
      <c r="F1970" s="1493"/>
      <c r="G1970" s="1493"/>
      <c r="H1970" s="1493"/>
      <c r="I1970" s="1493"/>
      <c r="J1970" s="1598"/>
      <c r="N1970" s="1493"/>
    </row>
    <row r="1971" spans="4:14" x14ac:dyDescent="0.2">
      <c r="D1971" s="1493"/>
      <c r="E1971" s="1493"/>
      <c r="F1971" s="1493"/>
      <c r="G1971" s="1493"/>
      <c r="H1971" s="1493"/>
      <c r="I1971" s="1493"/>
      <c r="J1971" s="1598"/>
      <c r="N1971" s="1493"/>
    </row>
    <row r="1972" spans="4:14" x14ac:dyDescent="0.2">
      <c r="D1972" s="1493"/>
      <c r="E1972" s="1493"/>
      <c r="F1972" s="1493"/>
      <c r="G1972" s="1493"/>
      <c r="H1972" s="1493"/>
      <c r="I1972" s="1493"/>
      <c r="J1972" s="1598"/>
      <c r="N1972" s="1493"/>
    </row>
    <row r="1973" spans="4:14" x14ac:dyDescent="0.2">
      <c r="D1973" s="1493"/>
      <c r="E1973" s="1493"/>
      <c r="F1973" s="1493"/>
      <c r="G1973" s="1493"/>
      <c r="H1973" s="1493"/>
      <c r="I1973" s="1493"/>
      <c r="J1973" s="1598"/>
      <c r="N1973" s="1493"/>
    </row>
    <row r="1974" spans="4:14" x14ac:dyDescent="0.2">
      <c r="D1974" s="1493"/>
      <c r="E1974" s="1493"/>
      <c r="F1974" s="1493"/>
      <c r="G1974" s="1493"/>
      <c r="H1974" s="1493"/>
      <c r="I1974" s="1493"/>
      <c r="J1974" s="1598"/>
      <c r="N1974" s="1493"/>
    </row>
    <row r="1975" spans="4:14" x14ac:dyDescent="0.2">
      <c r="D1975" s="1493"/>
      <c r="E1975" s="1493"/>
      <c r="F1975" s="1493"/>
      <c r="G1975" s="1493"/>
      <c r="H1975" s="1493"/>
      <c r="I1975" s="1493"/>
      <c r="J1975" s="1598"/>
      <c r="N1975" s="1493"/>
    </row>
    <row r="1976" spans="4:14" x14ac:dyDescent="0.2">
      <c r="D1976" s="1493"/>
      <c r="E1976" s="1493"/>
      <c r="F1976" s="1493"/>
      <c r="G1976" s="1493"/>
      <c r="H1976" s="1493"/>
      <c r="I1976" s="1493"/>
      <c r="J1976" s="1598"/>
      <c r="N1976" s="1493"/>
    </row>
    <row r="1977" spans="4:14" x14ac:dyDescent="0.2">
      <c r="D1977" s="1493"/>
      <c r="E1977" s="1493"/>
      <c r="F1977" s="1493"/>
      <c r="G1977" s="1493"/>
      <c r="H1977" s="1493"/>
      <c r="I1977" s="1493"/>
      <c r="J1977" s="1598"/>
      <c r="N1977" s="1493"/>
    </row>
    <row r="1978" spans="4:14" x14ac:dyDescent="0.2">
      <c r="D1978" s="1493"/>
      <c r="E1978" s="1493"/>
      <c r="F1978" s="1493"/>
      <c r="G1978" s="1493"/>
      <c r="H1978" s="1493"/>
      <c r="I1978" s="1493"/>
      <c r="J1978" s="1598"/>
      <c r="N1978" s="1493"/>
    </row>
    <row r="1979" spans="4:14" x14ac:dyDescent="0.2">
      <c r="D1979" s="1493"/>
      <c r="E1979" s="1493"/>
      <c r="F1979" s="1493"/>
      <c r="G1979" s="1493"/>
      <c r="H1979" s="1493"/>
      <c r="I1979" s="1493"/>
      <c r="J1979" s="1598"/>
      <c r="N1979" s="1493"/>
    </row>
    <row r="1980" spans="4:14" x14ac:dyDescent="0.2">
      <c r="D1980" s="1493"/>
      <c r="E1980" s="1493"/>
      <c r="F1980" s="1493"/>
      <c r="G1980" s="1493"/>
      <c r="H1980" s="1493"/>
      <c r="I1980" s="1493"/>
      <c r="J1980" s="1598"/>
      <c r="N1980" s="1493"/>
    </row>
    <row r="1981" spans="4:14" x14ac:dyDescent="0.2">
      <c r="D1981" s="1493"/>
      <c r="E1981" s="1493"/>
      <c r="F1981" s="1493"/>
      <c r="G1981" s="1493"/>
      <c r="H1981" s="1493"/>
      <c r="I1981" s="1493"/>
      <c r="J1981" s="1598"/>
      <c r="N1981" s="1493"/>
    </row>
    <row r="1982" spans="4:14" x14ac:dyDescent="0.2">
      <c r="D1982" s="1493"/>
      <c r="E1982" s="1493"/>
      <c r="F1982" s="1493"/>
      <c r="G1982" s="1493"/>
      <c r="H1982" s="1493"/>
      <c r="I1982" s="1493"/>
      <c r="J1982" s="1598"/>
      <c r="N1982" s="1493"/>
    </row>
    <row r="1983" spans="4:14" x14ac:dyDescent="0.2">
      <c r="D1983" s="1493"/>
      <c r="E1983" s="1493"/>
      <c r="F1983" s="1493"/>
      <c r="G1983" s="1493"/>
      <c r="H1983" s="1493"/>
      <c r="I1983" s="1493"/>
      <c r="J1983" s="1598"/>
      <c r="N1983" s="1493"/>
    </row>
    <row r="1984" spans="4:14" x14ac:dyDescent="0.2">
      <c r="D1984" s="1493"/>
      <c r="E1984" s="1493"/>
      <c r="F1984" s="1493"/>
      <c r="G1984" s="1493"/>
      <c r="H1984" s="1493"/>
      <c r="I1984" s="1493"/>
      <c r="J1984" s="1598"/>
      <c r="N1984" s="1493"/>
    </row>
    <row r="1985" spans="4:14" x14ac:dyDescent="0.2">
      <c r="D1985" s="1493"/>
      <c r="E1985" s="1493"/>
      <c r="F1985" s="1493"/>
      <c r="G1985" s="1493"/>
      <c r="H1985" s="1493"/>
      <c r="I1985" s="1493"/>
      <c r="J1985" s="1598"/>
      <c r="N1985" s="1493"/>
    </row>
    <row r="1986" spans="4:14" x14ac:dyDescent="0.2">
      <c r="D1986" s="1493"/>
      <c r="E1986" s="1493"/>
      <c r="F1986" s="1493"/>
      <c r="G1986" s="1493"/>
      <c r="H1986" s="1493"/>
      <c r="I1986" s="1493"/>
      <c r="J1986" s="1598"/>
      <c r="N1986" s="1493"/>
    </row>
    <row r="1987" spans="4:14" x14ac:dyDescent="0.2">
      <c r="D1987" s="1493"/>
      <c r="E1987" s="1493"/>
      <c r="F1987" s="1493"/>
      <c r="G1987" s="1493"/>
      <c r="H1987" s="1493"/>
      <c r="I1987" s="1493"/>
      <c r="J1987" s="1598"/>
      <c r="N1987" s="1493"/>
    </row>
    <row r="1988" spans="4:14" x14ac:dyDescent="0.2">
      <c r="D1988" s="1493"/>
      <c r="E1988" s="1493"/>
      <c r="F1988" s="1493"/>
      <c r="G1988" s="1493"/>
      <c r="H1988" s="1493"/>
      <c r="I1988" s="1493"/>
      <c r="J1988" s="1598"/>
      <c r="N1988" s="1493"/>
    </row>
    <row r="1989" spans="4:14" x14ac:dyDescent="0.2">
      <c r="D1989" s="1493"/>
      <c r="E1989" s="1493"/>
      <c r="F1989" s="1493"/>
      <c r="G1989" s="1493"/>
      <c r="H1989" s="1493"/>
      <c r="I1989" s="1493"/>
      <c r="J1989" s="1598"/>
      <c r="N1989" s="1493"/>
    </row>
    <row r="1990" spans="4:14" x14ac:dyDescent="0.2">
      <c r="D1990" s="1493"/>
      <c r="E1990" s="1493"/>
      <c r="F1990" s="1493"/>
      <c r="G1990" s="1493"/>
      <c r="H1990" s="1493"/>
      <c r="I1990" s="1493"/>
      <c r="J1990" s="1598"/>
      <c r="N1990" s="1493"/>
    </row>
    <row r="1991" spans="4:14" x14ac:dyDescent="0.2">
      <c r="D1991" s="1493"/>
      <c r="E1991" s="1493"/>
      <c r="F1991" s="1493"/>
      <c r="G1991" s="1493"/>
      <c r="H1991" s="1493"/>
      <c r="I1991" s="1493"/>
      <c r="J1991" s="1598"/>
      <c r="N1991" s="1493"/>
    </row>
    <row r="1992" spans="4:14" x14ac:dyDescent="0.2">
      <c r="D1992" s="1493"/>
      <c r="E1992" s="1493"/>
      <c r="F1992" s="1493"/>
      <c r="G1992" s="1493"/>
      <c r="H1992" s="1493"/>
      <c r="I1992" s="1493"/>
      <c r="J1992" s="1598"/>
      <c r="N1992" s="1493"/>
    </row>
    <row r="1993" spans="4:14" x14ac:dyDescent="0.2">
      <c r="D1993" s="1493"/>
      <c r="E1993" s="1493"/>
      <c r="F1993" s="1493"/>
      <c r="G1993" s="1493"/>
      <c r="H1993" s="1493"/>
      <c r="I1993" s="1493"/>
      <c r="J1993" s="1598"/>
      <c r="N1993" s="1493"/>
    </row>
    <row r="1994" spans="4:14" x14ac:dyDescent="0.2">
      <c r="D1994" s="1493"/>
      <c r="E1994" s="1493"/>
      <c r="F1994" s="1493"/>
      <c r="G1994" s="1493"/>
      <c r="H1994" s="1493"/>
      <c r="I1994" s="1493"/>
      <c r="J1994" s="1598"/>
      <c r="N1994" s="1493"/>
    </row>
    <row r="1995" spans="4:14" x14ac:dyDescent="0.2">
      <c r="D1995" s="1493"/>
      <c r="E1995" s="1493"/>
      <c r="F1995" s="1493"/>
      <c r="G1995" s="1493"/>
      <c r="H1995" s="1493"/>
      <c r="I1995" s="1493"/>
      <c r="J1995" s="1598"/>
      <c r="N1995" s="1493"/>
    </row>
    <row r="1996" spans="4:14" x14ac:dyDescent="0.2">
      <c r="D1996" s="1493"/>
      <c r="E1996" s="1493"/>
      <c r="F1996" s="1493"/>
      <c r="G1996" s="1493"/>
      <c r="H1996" s="1493"/>
      <c r="I1996" s="1493"/>
      <c r="J1996" s="1598"/>
      <c r="N1996" s="1493"/>
    </row>
    <row r="1997" spans="4:14" x14ac:dyDescent="0.2">
      <c r="D1997" s="1493"/>
      <c r="E1997" s="1493"/>
      <c r="F1997" s="1493"/>
      <c r="G1997" s="1493"/>
      <c r="H1997" s="1493"/>
      <c r="I1997" s="1493"/>
      <c r="J1997" s="1598"/>
      <c r="N1997" s="1493"/>
    </row>
    <row r="1998" spans="4:14" x14ac:dyDescent="0.2">
      <c r="D1998" s="1493"/>
      <c r="E1998" s="1493"/>
      <c r="F1998" s="1493"/>
      <c r="G1998" s="1493"/>
      <c r="H1998" s="1493"/>
      <c r="I1998" s="1493"/>
      <c r="J1998" s="1598"/>
      <c r="N1998" s="1493"/>
    </row>
    <row r="1999" spans="4:14" x14ac:dyDescent="0.2">
      <c r="D1999" s="1493"/>
      <c r="E1999" s="1493"/>
      <c r="F1999" s="1493"/>
      <c r="G1999" s="1493"/>
      <c r="H1999" s="1493"/>
      <c r="I1999" s="1493"/>
      <c r="J1999" s="1598"/>
      <c r="N1999" s="1493"/>
    </row>
    <row r="2000" spans="4:14" x14ac:dyDescent="0.2">
      <c r="D2000" s="1493"/>
      <c r="E2000" s="1493"/>
      <c r="F2000" s="1493"/>
      <c r="G2000" s="1493"/>
      <c r="H2000" s="1493"/>
      <c r="I2000" s="1493"/>
      <c r="J2000" s="1598"/>
      <c r="N2000" s="1493"/>
    </row>
    <row r="2001" spans="4:14" x14ac:dyDescent="0.2">
      <c r="D2001" s="1493"/>
      <c r="E2001" s="1493"/>
      <c r="F2001" s="1493"/>
      <c r="G2001" s="1493"/>
      <c r="H2001" s="1493"/>
      <c r="I2001" s="1493"/>
      <c r="J2001" s="1598"/>
      <c r="N2001" s="1493"/>
    </row>
    <row r="2002" spans="4:14" x14ac:dyDescent="0.2">
      <c r="D2002" s="1493"/>
      <c r="E2002" s="1493"/>
      <c r="F2002" s="1493"/>
      <c r="G2002" s="1493"/>
      <c r="H2002" s="1493"/>
      <c r="I2002" s="1493"/>
      <c r="J2002" s="1598"/>
      <c r="N2002" s="1493"/>
    </row>
    <row r="2003" spans="4:14" x14ac:dyDescent="0.2">
      <c r="D2003" s="1493"/>
      <c r="E2003" s="1493"/>
      <c r="F2003" s="1493"/>
      <c r="G2003" s="1493"/>
      <c r="H2003" s="1493"/>
      <c r="I2003" s="1493"/>
      <c r="J2003" s="1598"/>
      <c r="N2003" s="1493"/>
    </row>
    <row r="2004" spans="4:14" x14ac:dyDescent="0.2">
      <c r="D2004" s="1493"/>
      <c r="E2004" s="1493"/>
      <c r="F2004" s="1493"/>
      <c r="G2004" s="1493"/>
      <c r="H2004" s="1493"/>
      <c r="I2004" s="1493"/>
      <c r="J2004" s="1598"/>
      <c r="N2004" s="1493"/>
    </row>
    <row r="2005" spans="4:14" x14ac:dyDescent="0.2">
      <c r="D2005" s="1493"/>
      <c r="E2005" s="1493"/>
      <c r="F2005" s="1493"/>
      <c r="G2005" s="1493"/>
      <c r="H2005" s="1493"/>
      <c r="I2005" s="1493"/>
      <c r="J2005" s="1598"/>
      <c r="N2005" s="1493"/>
    </row>
    <row r="2006" spans="4:14" x14ac:dyDescent="0.2">
      <c r="D2006" s="1493"/>
      <c r="E2006" s="1493"/>
      <c r="F2006" s="1493"/>
      <c r="G2006" s="1493"/>
      <c r="H2006" s="1493"/>
      <c r="I2006" s="1493"/>
      <c r="J2006" s="1598"/>
      <c r="N2006" s="1493"/>
    </row>
    <row r="2007" spans="4:14" x14ac:dyDescent="0.2">
      <c r="D2007" s="1493"/>
      <c r="E2007" s="1493"/>
      <c r="F2007" s="1493"/>
      <c r="G2007" s="1493"/>
      <c r="H2007" s="1493"/>
      <c r="I2007" s="1493"/>
      <c r="J2007" s="1598"/>
      <c r="N2007" s="1493"/>
    </row>
    <row r="2008" spans="4:14" x14ac:dyDescent="0.2">
      <c r="D2008" s="1493"/>
      <c r="E2008" s="1493"/>
      <c r="F2008" s="1493"/>
      <c r="G2008" s="1493"/>
      <c r="H2008" s="1493"/>
      <c r="I2008" s="1493"/>
      <c r="J2008" s="1598"/>
      <c r="N2008" s="1493"/>
    </row>
  </sheetData>
  <sheetProtection algorithmName="SHA-512" hashValue="j9qN0JomiKUvFp9N+8/WnJF+LA5TpblLVjd8l8g9bDOt9PK24QWHbuToylvuwUUbc/n/DqPL9RfqK3ZIrttfrw==" saltValue="473ll3XvsY1XldlHLIXfsg==" spinCount="100000" sheet="1" objects="1" scenarios="1" formatCells="0" formatColumns="0" formatRows="0" insertColumns="0" insertRows="0" insertHyperlinks="0" deleteColumns="0" deleteRows="0" sort="0" autoFilter="0" pivotTables="0"/>
  <mergeCells count="16">
    <mergeCell ref="N39:N41"/>
    <mergeCell ref="N2:N5"/>
    <mergeCell ref="A1:N1"/>
    <mergeCell ref="N13:N14"/>
    <mergeCell ref="N17:N18"/>
    <mergeCell ref="N27:N32"/>
    <mergeCell ref="A26:D26"/>
    <mergeCell ref="A33:D33"/>
    <mergeCell ref="B71:G71"/>
    <mergeCell ref="A2:J2"/>
    <mergeCell ref="A3:J3"/>
    <mergeCell ref="B55:D55"/>
    <mergeCell ref="B57:D57"/>
    <mergeCell ref="B58:D58"/>
    <mergeCell ref="B59:D59"/>
    <mergeCell ref="B61:D61"/>
  </mergeCells>
  <phoneticPr fontId="32" type="noConversion"/>
  <printOptions horizontalCentered="1" verticalCentered="1"/>
  <pageMargins left="0.15748031496062992" right="0.15748031496062992" top="0.59055118110236227" bottom="0.59055118110236227" header="0" footer="0"/>
  <pageSetup scale="56" fitToHeight="2" orientation="portrait" horizontalDpi="4294967294" verticalDpi="4294967294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3077" r:id="rId4">
          <objectPr defaultSize="0" autoPict="0" r:id="rId5">
            <anchor moveWithCells="1" sizeWithCells="1">
              <from>
                <xdr:col>1</xdr:col>
                <xdr:colOff>4629150</xdr:colOff>
                <xdr:row>0</xdr:row>
                <xdr:rowOff>38100</xdr:rowOff>
              </from>
              <to>
                <xdr:col>2</xdr:col>
                <xdr:colOff>476250</xdr:colOff>
                <xdr:row>0</xdr:row>
                <xdr:rowOff>666750</xdr:rowOff>
              </to>
            </anchor>
          </objectPr>
        </oleObject>
      </mc:Choice>
      <mc:Fallback>
        <oleObject progId="PBrush" shapeId="307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T53"/>
  <sheetViews>
    <sheetView view="pageBreakPreview" zoomScale="80" zoomScaleNormal="60" zoomScaleSheetLayoutView="80" workbookViewId="0">
      <selection activeCell="H24" sqref="H24"/>
    </sheetView>
  </sheetViews>
  <sheetFormatPr baseColWidth="10" defaultColWidth="13.7109375" defaultRowHeight="12.75" outlineLevelCol="1" x14ac:dyDescent="0.2"/>
  <cols>
    <col min="1" max="1" width="11.42578125" style="171" customWidth="1"/>
    <col min="2" max="2" width="56.85546875" style="171" customWidth="1"/>
    <col min="3" max="3" width="10.5703125" style="171" customWidth="1"/>
    <col min="4" max="4" width="13.140625" style="171" customWidth="1"/>
    <col min="5" max="5" width="20.85546875" style="171" customWidth="1"/>
    <col min="6" max="6" width="17.7109375" style="171" customWidth="1"/>
    <col min="7" max="7" width="23.7109375" style="171" customWidth="1"/>
    <col min="8" max="8" width="11.42578125" style="171" customWidth="1"/>
    <col min="9" max="9" width="18.140625" style="171" hidden="1" customWidth="1" outlineLevel="1"/>
    <col min="10" max="10" width="11.42578125" style="171" hidden="1" customWidth="1" outlineLevel="1"/>
    <col min="11" max="11" width="18.140625" style="171" hidden="1" customWidth="1" outlineLevel="1"/>
    <col min="12" max="12" width="11.42578125" style="172" hidden="1" customWidth="1" outlineLevel="1"/>
    <col min="13" max="13" width="16.5703125" style="172" hidden="1" customWidth="1" outlineLevel="1"/>
    <col min="14" max="15" width="11.42578125" style="172" hidden="1" customWidth="1" outlineLevel="1"/>
    <col min="16" max="16" width="30.7109375" style="171" bestFit="1" customWidth="1" collapsed="1"/>
    <col min="17" max="17" width="19.28515625" style="171" bestFit="1" customWidth="1"/>
    <col min="18" max="18" width="17.140625" style="171" bestFit="1" customWidth="1"/>
    <col min="19" max="19" width="18" style="171" bestFit="1" customWidth="1"/>
    <col min="20" max="20" width="15.140625" style="171" bestFit="1" customWidth="1"/>
    <col min="21" max="253" width="11.42578125" style="171" customWidth="1"/>
    <col min="254" max="254" width="39.140625" style="171" customWidth="1"/>
    <col min="255" max="255" width="10.5703125" style="171" customWidth="1"/>
    <col min="256" max="16384" width="13.7109375" style="171"/>
  </cols>
  <sheetData>
    <row r="1" spans="1:20" ht="27" customHeight="1" x14ac:dyDescent="0.2">
      <c r="A1" s="1712" t="s">
        <v>667</v>
      </c>
      <c r="B1" s="1712"/>
      <c r="C1" s="1712"/>
      <c r="D1" s="1712"/>
      <c r="E1" s="1712"/>
      <c r="F1" s="1712"/>
      <c r="G1" s="1712"/>
      <c r="H1" s="1712"/>
      <c r="I1" s="1712"/>
      <c r="J1" s="1712"/>
      <c r="K1" s="1712"/>
      <c r="L1" s="1712"/>
      <c r="M1" s="1712"/>
      <c r="N1" s="1712"/>
      <c r="O1" s="1712"/>
      <c r="P1" s="1712"/>
      <c r="Q1" s="1712"/>
      <c r="R1" s="1712"/>
      <c r="S1" s="1712"/>
      <c r="T1" s="1712"/>
    </row>
    <row r="2" spans="1:20" ht="20.25" customHeight="1" x14ac:dyDescent="0.2">
      <c r="A2" s="1713" t="str">
        <f>+Presupuesto!A2</f>
        <v>PRESUPUESTO  OBRAS DE MEJORAMIENTO  ALCANTARILLADO EN LA ZONA URBANA EN EL MUNICIPIO DE LA VICTORIA CALDAS</v>
      </c>
      <c r="B2" s="1713"/>
      <c r="C2" s="1713"/>
      <c r="D2" s="1713"/>
      <c r="E2" s="1713"/>
      <c r="F2" s="1713"/>
      <c r="G2" s="1713"/>
      <c r="H2" s="1713"/>
      <c r="I2" s="1713"/>
      <c r="J2" s="1713"/>
      <c r="K2" s="1713"/>
      <c r="L2" s="1713"/>
      <c r="M2" s="1713"/>
      <c r="N2" s="1713"/>
      <c r="O2" s="1713"/>
      <c r="P2" s="1713"/>
      <c r="Q2" s="1713"/>
      <c r="R2" s="1713"/>
      <c r="S2" s="1713"/>
      <c r="T2" s="1713"/>
    </row>
    <row r="3" spans="1:20" ht="13.5" thickBot="1" x14ac:dyDescent="0.25"/>
    <row r="4" spans="1:20" ht="15.75" x14ac:dyDescent="0.25">
      <c r="B4" s="1703" t="s">
        <v>668</v>
      </c>
      <c r="C4" s="1704"/>
      <c r="D4" s="1704"/>
      <c r="E4" s="1704"/>
      <c r="F4" s="1704"/>
      <c r="G4" s="1705"/>
      <c r="P4" s="1072" t="s">
        <v>2765</v>
      </c>
      <c r="Q4" s="175">
        <v>689454</v>
      </c>
      <c r="S4" s="282"/>
    </row>
    <row r="5" spans="1:20" ht="15" customHeight="1" thickBot="1" x14ac:dyDescent="0.25">
      <c r="B5" s="1706" t="s">
        <v>669</v>
      </c>
      <c r="C5" s="1707"/>
      <c r="D5" s="1707"/>
      <c r="E5" s="1707"/>
      <c r="F5" s="1707"/>
      <c r="G5" s="1708"/>
    </row>
    <row r="6" spans="1:20" ht="15" customHeight="1" thickBot="1" x14ac:dyDescent="0.25">
      <c r="B6" s="1709"/>
      <c r="C6" s="1710"/>
      <c r="D6" s="1710"/>
      <c r="E6" s="1710"/>
      <c r="F6" s="1710"/>
      <c r="G6" s="1711"/>
      <c r="P6" s="176" t="s">
        <v>670</v>
      </c>
      <c r="Q6" s="177" t="s">
        <v>671</v>
      </c>
      <c r="R6" s="177" t="s">
        <v>672</v>
      </c>
      <c r="S6" s="177" t="s">
        <v>673</v>
      </c>
      <c r="T6" s="178" t="s">
        <v>674</v>
      </c>
    </row>
    <row r="7" spans="1:20" x14ac:dyDescent="0.2">
      <c r="B7" s="179"/>
      <c r="C7" s="180"/>
      <c r="D7" s="181"/>
      <c r="E7" s="181"/>
      <c r="F7" s="181"/>
      <c r="G7" s="182"/>
      <c r="P7" s="183" t="s">
        <v>675</v>
      </c>
      <c r="Q7" s="184">
        <f>R7/$Q$4</f>
        <v>7.2521154420744534</v>
      </c>
      <c r="R7" s="1073">
        <v>5000000</v>
      </c>
      <c r="S7" s="185">
        <v>1.6</v>
      </c>
      <c r="T7" s="329">
        <f>+S7*R7</f>
        <v>8000000</v>
      </c>
    </row>
    <row r="8" spans="1:20" ht="15" x14ac:dyDescent="0.25">
      <c r="B8" s="186" t="s">
        <v>676</v>
      </c>
      <c r="C8" s="187"/>
      <c r="D8" s="188"/>
      <c r="E8" s="188"/>
      <c r="F8" s="188"/>
      <c r="G8" s="189">
        <v>4</v>
      </c>
      <c r="P8" s="183" t="s">
        <v>677</v>
      </c>
      <c r="Q8" s="184">
        <f t="shared" ref="Q8:Q13" si="0">R8/$Q$4</f>
        <v>4.3512692652446718</v>
      </c>
      <c r="R8" s="1073">
        <v>3000000</v>
      </c>
      <c r="S8" s="185">
        <v>1.6</v>
      </c>
      <c r="T8" s="329">
        <f t="shared" ref="T8:T13" si="1">+S8*R8</f>
        <v>4800000</v>
      </c>
    </row>
    <row r="9" spans="1:20" ht="14.25" x14ac:dyDescent="0.2">
      <c r="B9" s="190" t="s">
        <v>678</v>
      </c>
      <c r="C9" s="191"/>
      <c r="D9" s="192"/>
      <c r="E9" s="192"/>
      <c r="F9" s="192"/>
      <c r="G9" s="193">
        <f>+Presupuesto!J55</f>
        <v>0</v>
      </c>
      <c r="P9" s="183" t="s">
        <v>679</v>
      </c>
      <c r="Q9" s="184">
        <f t="shared" si="0"/>
        <v>2.1756346326223359</v>
      </c>
      <c r="R9" s="1073">
        <v>1500000</v>
      </c>
      <c r="S9" s="185">
        <v>1.6</v>
      </c>
      <c r="T9" s="329">
        <f t="shared" si="1"/>
        <v>2400000</v>
      </c>
    </row>
    <row r="10" spans="1:20" ht="14.25" x14ac:dyDescent="0.2">
      <c r="B10" s="190"/>
      <c r="C10" s="194"/>
      <c r="D10" s="192"/>
      <c r="E10" s="192"/>
      <c r="F10" s="192"/>
      <c r="G10" s="193"/>
      <c r="P10" s="183" t="s">
        <v>680</v>
      </c>
      <c r="Q10" s="184">
        <f t="shared" si="0"/>
        <v>2.6107615591468032</v>
      </c>
      <c r="R10" s="1073">
        <v>1800000</v>
      </c>
      <c r="S10" s="185">
        <v>1.6</v>
      </c>
      <c r="T10" s="329">
        <f t="shared" si="1"/>
        <v>2880000</v>
      </c>
    </row>
    <row r="11" spans="1:20" ht="14.25" x14ac:dyDescent="0.2">
      <c r="B11" s="190" t="s">
        <v>681</v>
      </c>
      <c r="C11" s="337">
        <v>0.25</v>
      </c>
      <c r="D11" s="192"/>
      <c r="E11" s="192"/>
      <c r="F11" s="192"/>
      <c r="G11" s="193">
        <f>ROUND((G9+G10)*C11,0)</f>
        <v>0</v>
      </c>
      <c r="P11" s="1071" t="s">
        <v>2764</v>
      </c>
      <c r="Q11" s="184">
        <f t="shared" si="0"/>
        <v>2.6107615591468032</v>
      </c>
      <c r="R11" s="1073">
        <v>1800000</v>
      </c>
      <c r="S11" s="944">
        <v>1.6</v>
      </c>
      <c r="T11" s="329">
        <f t="shared" si="1"/>
        <v>2880000</v>
      </c>
    </row>
    <row r="12" spans="1:20" ht="15.75" thickBot="1" x14ac:dyDescent="0.3">
      <c r="B12" s="186" t="s">
        <v>683</v>
      </c>
      <c r="C12" s="195"/>
      <c r="D12" s="196"/>
      <c r="E12" s="196"/>
      <c r="F12" s="196"/>
      <c r="G12" s="197">
        <f>SUM(G9:G11)</f>
        <v>0</v>
      </c>
      <c r="P12" s="1071" t="s">
        <v>2766</v>
      </c>
      <c r="Q12" s="184">
        <v>1</v>
      </c>
      <c r="R12" s="1073">
        <v>589500</v>
      </c>
      <c r="S12" s="185">
        <v>1.75</v>
      </c>
      <c r="T12" s="329">
        <f t="shared" si="1"/>
        <v>1031625</v>
      </c>
    </row>
    <row r="13" spans="1:20" ht="63" customHeight="1" thickBot="1" x14ac:dyDescent="0.25">
      <c r="B13" s="198" t="s">
        <v>963</v>
      </c>
      <c r="C13" s="199" t="s">
        <v>964</v>
      </c>
      <c r="D13" s="200" t="s">
        <v>1536</v>
      </c>
      <c r="E13" s="200" t="s">
        <v>685</v>
      </c>
      <c r="F13" s="201" t="s">
        <v>686</v>
      </c>
      <c r="G13" s="202" t="s">
        <v>687</v>
      </c>
      <c r="P13" s="341" t="s">
        <v>688</v>
      </c>
      <c r="Q13" s="342">
        <f t="shared" si="0"/>
        <v>1.0443046236587212</v>
      </c>
      <c r="R13" s="1076">
        <v>720000</v>
      </c>
      <c r="S13" s="343">
        <v>1.75</v>
      </c>
      <c r="T13" s="344">
        <f t="shared" si="1"/>
        <v>1260000</v>
      </c>
    </row>
    <row r="14" spans="1:20" ht="15" x14ac:dyDescent="0.25">
      <c r="B14" s="203" t="s">
        <v>689</v>
      </c>
      <c r="C14" s="204"/>
      <c r="D14" s="204"/>
      <c r="E14" s="205"/>
      <c r="F14" s="204"/>
      <c r="G14" s="206"/>
      <c r="P14" s="207" t="s">
        <v>690</v>
      </c>
      <c r="Q14" s="208">
        <v>1</v>
      </c>
      <c r="R14" s="1073">
        <f>+$Q$4*Q14</f>
        <v>689454</v>
      </c>
      <c r="S14" s="209">
        <f>1.75*1.25</f>
        <v>2.1875</v>
      </c>
      <c r="T14" s="330">
        <f>+ROUND(S14*R14,0)</f>
        <v>1508181</v>
      </c>
    </row>
    <row r="15" spans="1:20" ht="18.75" customHeight="1" thickBot="1" x14ac:dyDescent="0.25">
      <c r="B15" s="210" t="s">
        <v>1520</v>
      </c>
      <c r="C15" s="211" t="s">
        <v>904</v>
      </c>
      <c r="D15" s="232">
        <v>16</v>
      </c>
      <c r="E15" s="234">
        <v>25000</v>
      </c>
      <c r="F15" s="213">
        <v>1</v>
      </c>
      <c r="G15" s="193">
        <f t="shared" ref="G15:G22" si="2">+ROUND(E15*D15*F15,0)</f>
        <v>400000</v>
      </c>
      <c r="I15" s="1696" t="s">
        <v>691</v>
      </c>
      <c r="J15" s="1696"/>
      <c r="K15" s="1696"/>
      <c r="L15" s="1696"/>
      <c r="M15" s="1696"/>
      <c r="N15" s="1696"/>
      <c r="O15" s="1696"/>
      <c r="P15" s="214" t="s">
        <v>692</v>
      </c>
      <c r="Q15" s="215">
        <v>1</v>
      </c>
      <c r="R15" s="348">
        <v>129178</v>
      </c>
      <c r="S15" s="216">
        <v>1</v>
      </c>
      <c r="T15" s="331">
        <f>+ROUND(S15*R15,0)</f>
        <v>129178</v>
      </c>
    </row>
    <row r="16" spans="1:20" ht="14.25" x14ac:dyDescent="0.2">
      <c r="B16" s="217" t="s">
        <v>693</v>
      </c>
      <c r="C16" s="218" t="s">
        <v>2012</v>
      </c>
      <c r="D16" s="232">
        <f>$G$8</f>
        <v>4</v>
      </c>
      <c r="E16" s="233">
        <v>150000</v>
      </c>
      <c r="F16" s="213">
        <v>1</v>
      </c>
      <c r="G16" s="193">
        <f t="shared" si="2"/>
        <v>600000</v>
      </c>
      <c r="I16" s="220" t="s">
        <v>694</v>
      </c>
      <c r="J16" s="220" t="s">
        <v>695</v>
      </c>
      <c r="K16" s="220" t="s">
        <v>694</v>
      </c>
      <c r="L16" s="220" t="s">
        <v>695</v>
      </c>
      <c r="M16" s="220" t="s">
        <v>694</v>
      </c>
      <c r="N16" s="220" t="s">
        <v>695</v>
      </c>
      <c r="O16" s="221" t="s">
        <v>696</v>
      </c>
    </row>
    <row r="17" spans="2:16" ht="14.25" x14ac:dyDescent="0.2">
      <c r="B17" s="217" t="s">
        <v>697</v>
      </c>
      <c r="C17" s="218" t="s">
        <v>2012</v>
      </c>
      <c r="D17" s="232">
        <f t="shared" ref="D17:D22" si="3">$G$8</f>
        <v>4</v>
      </c>
      <c r="E17" s="233">
        <v>50000</v>
      </c>
      <c r="F17" s="213">
        <v>1</v>
      </c>
      <c r="G17" s="193">
        <f t="shared" si="2"/>
        <v>200000</v>
      </c>
      <c r="I17" s="222"/>
      <c r="J17" s="220"/>
      <c r="K17" s="222"/>
      <c r="L17" s="223"/>
      <c r="M17" s="222"/>
      <c r="N17" s="223"/>
      <c r="O17" s="223"/>
      <c r="P17" s="224"/>
    </row>
    <row r="18" spans="2:16" ht="14.25" x14ac:dyDescent="0.2">
      <c r="B18" s="217" t="s">
        <v>698</v>
      </c>
      <c r="C18" s="218" t="s">
        <v>2012</v>
      </c>
      <c r="D18" s="232">
        <f t="shared" si="3"/>
        <v>4</v>
      </c>
      <c r="E18" s="233">
        <v>100000</v>
      </c>
      <c r="F18" s="213">
        <v>1</v>
      </c>
      <c r="G18" s="193">
        <f t="shared" si="2"/>
        <v>400000</v>
      </c>
      <c r="I18" s="222"/>
      <c r="J18" s="220"/>
      <c r="K18" s="222"/>
      <c r="L18" s="223"/>
      <c r="M18" s="222"/>
      <c r="N18" s="223"/>
      <c r="O18" s="223"/>
      <c r="P18" s="225"/>
    </row>
    <row r="19" spans="2:16" ht="14.25" x14ac:dyDescent="0.2">
      <c r="B19" s="217" t="s">
        <v>699</v>
      </c>
      <c r="C19" s="218" t="s">
        <v>2012</v>
      </c>
      <c r="D19" s="232">
        <f t="shared" si="3"/>
        <v>4</v>
      </c>
      <c r="E19" s="233">
        <v>800000</v>
      </c>
      <c r="F19" s="213">
        <v>1</v>
      </c>
      <c r="G19" s="193">
        <f t="shared" si="2"/>
        <v>3200000</v>
      </c>
      <c r="I19" s="222"/>
      <c r="J19" s="220"/>
      <c r="K19" s="222"/>
      <c r="L19" s="223"/>
      <c r="M19" s="222"/>
      <c r="N19" s="223"/>
      <c r="O19" s="223"/>
      <c r="P19" s="225"/>
    </row>
    <row r="20" spans="2:16" ht="14.25" x14ac:dyDescent="0.2">
      <c r="B20" s="217" t="s">
        <v>700</v>
      </c>
      <c r="C20" s="218" t="s">
        <v>2012</v>
      </c>
      <c r="D20" s="232">
        <f t="shared" si="3"/>
        <v>4</v>
      </c>
      <c r="E20" s="233">
        <v>100000</v>
      </c>
      <c r="F20" s="213">
        <v>1</v>
      </c>
      <c r="G20" s="193">
        <f t="shared" si="2"/>
        <v>400000</v>
      </c>
      <c r="I20" s="222"/>
      <c r="J20" s="220"/>
      <c r="K20" s="222"/>
      <c r="L20" s="223"/>
      <c r="M20" s="222"/>
      <c r="N20" s="223"/>
      <c r="O20" s="223"/>
      <c r="P20" s="225"/>
    </row>
    <row r="21" spans="2:16" ht="14.25" x14ac:dyDescent="0.2">
      <c r="B21" s="217" t="s">
        <v>2081</v>
      </c>
      <c r="C21" s="218" t="s">
        <v>2012</v>
      </c>
      <c r="D21" s="232">
        <f t="shared" si="3"/>
        <v>4</v>
      </c>
      <c r="E21" s="233">
        <v>50000</v>
      </c>
      <c r="F21" s="213">
        <v>1</v>
      </c>
      <c r="G21" s="193">
        <f t="shared" si="2"/>
        <v>200000</v>
      </c>
      <c r="I21" s="222"/>
      <c r="J21" s="220"/>
      <c r="K21" s="222"/>
      <c r="L21" s="223"/>
      <c r="M21" s="222"/>
      <c r="N21" s="223"/>
      <c r="O21" s="223"/>
      <c r="P21" s="225"/>
    </row>
    <row r="22" spans="2:16" ht="14.25" x14ac:dyDescent="0.2">
      <c r="B22" s="217" t="s">
        <v>701</v>
      </c>
      <c r="C22" s="218" t="s">
        <v>2012</v>
      </c>
      <c r="D22" s="232">
        <f t="shared" si="3"/>
        <v>4</v>
      </c>
      <c r="E22" s="233">
        <v>100000</v>
      </c>
      <c r="F22" s="213">
        <v>1</v>
      </c>
      <c r="G22" s="193">
        <f t="shared" si="2"/>
        <v>400000</v>
      </c>
      <c r="I22" s="222"/>
      <c r="J22" s="220"/>
      <c r="K22" s="222"/>
      <c r="L22" s="223"/>
      <c r="M22" s="222"/>
      <c r="N22" s="223"/>
      <c r="O22" s="223"/>
      <c r="P22" s="225"/>
    </row>
    <row r="23" spans="2:16" ht="15" x14ac:dyDescent="0.25">
      <c r="B23" s="226" t="s">
        <v>703</v>
      </c>
      <c r="C23" s="218"/>
      <c r="D23" s="212"/>
      <c r="E23" s="233"/>
      <c r="F23" s="213"/>
      <c r="G23" s="193"/>
      <c r="I23" s="222">
        <v>862386.92</v>
      </c>
      <c r="J23" s="223">
        <v>2.3200004955579E-4</v>
      </c>
      <c r="K23" s="222">
        <v>241782.28</v>
      </c>
      <c r="L23" s="223">
        <v>1.5381945919306177E-4</v>
      </c>
      <c r="M23" s="222">
        <v>58617.120000000003</v>
      </c>
      <c r="N23" s="223">
        <v>1.34752E-4</v>
      </c>
      <c r="O23" s="223">
        <v>1.7352383624961727E-4</v>
      </c>
    </row>
    <row r="24" spans="2:16" ht="16.5" customHeight="1" x14ac:dyDescent="0.2">
      <c r="B24" s="217" t="s">
        <v>704</v>
      </c>
      <c r="C24" s="218" t="s">
        <v>695</v>
      </c>
      <c r="D24" s="227">
        <v>1.1000000000000001E-3</v>
      </c>
      <c r="E24" s="233">
        <f>+$G$12</f>
        <v>0</v>
      </c>
      <c r="F24" s="213">
        <v>1</v>
      </c>
      <c r="G24" s="193">
        <f t="shared" ref="G24:G31" si="4">+ROUND(E24*D24*F24,0)</f>
        <v>0</v>
      </c>
      <c r="I24" s="222">
        <v>1293579.8</v>
      </c>
      <c r="J24" s="223">
        <v>3.4799991830160055E-4</v>
      </c>
      <c r="K24" s="222">
        <v>729341.88</v>
      </c>
      <c r="L24" s="223">
        <v>4.6399998191948131E-4</v>
      </c>
      <c r="M24" s="222">
        <v>163960.20000000001</v>
      </c>
      <c r="N24" s="223">
        <v>3.7691999999999994E-4</v>
      </c>
      <c r="O24" s="223">
        <v>3.9630663340702726E-4</v>
      </c>
    </row>
    <row r="25" spans="2:16" ht="16.5" customHeight="1" x14ac:dyDescent="0.2">
      <c r="B25" s="228" t="s">
        <v>705</v>
      </c>
      <c r="C25" s="218" t="s">
        <v>695</v>
      </c>
      <c r="D25" s="227">
        <v>2.0000000000000001E-4</v>
      </c>
      <c r="E25" s="219">
        <f t="shared" ref="E25:E32" si="5">+$G$12</f>
        <v>0</v>
      </c>
      <c r="F25" s="213">
        <v>1</v>
      </c>
      <c r="G25" s="193">
        <f t="shared" si="4"/>
        <v>0</v>
      </c>
      <c r="I25" s="222">
        <v>9055060.9199999999</v>
      </c>
      <c r="J25" s="223">
        <v>2.4360000522395419E-3</v>
      </c>
      <c r="K25" s="222">
        <v>5470064.6799999997</v>
      </c>
      <c r="L25" s="223">
        <v>3.4800002333862869E-3</v>
      </c>
      <c r="M25" s="222">
        <v>1514629.4</v>
      </c>
      <c r="N25" s="223">
        <v>3.4819066666666666E-3</v>
      </c>
      <c r="O25" s="223">
        <v>3.1326356507641651E-3</v>
      </c>
    </row>
    <row r="26" spans="2:16" ht="14.25" x14ac:dyDescent="0.2">
      <c r="B26" s="228" t="s">
        <v>706</v>
      </c>
      <c r="C26" s="218" t="s">
        <v>695</v>
      </c>
      <c r="D26" s="227">
        <v>2.9999999999999997E-4</v>
      </c>
      <c r="E26" s="219">
        <f t="shared" si="5"/>
        <v>0</v>
      </c>
      <c r="F26" s="213">
        <v>1</v>
      </c>
      <c r="G26" s="193">
        <f t="shared" si="4"/>
        <v>0</v>
      </c>
      <c r="I26" s="222">
        <v>4311933.4400000004</v>
      </c>
      <c r="J26" s="223">
        <v>1.1599999357147811E-3</v>
      </c>
      <c r="K26" s="222">
        <v>2185028.2000000002</v>
      </c>
      <c r="L26" s="223">
        <v>1.3900930045228676E-3</v>
      </c>
      <c r="M26" s="222">
        <v>567364.12</v>
      </c>
      <c r="N26" s="223">
        <v>1.3042853333333332E-3</v>
      </c>
      <c r="O26" s="223">
        <v>1.2847927578569938E-3</v>
      </c>
    </row>
    <row r="27" spans="2:16" ht="14.25" x14ac:dyDescent="0.2">
      <c r="B27" s="217" t="s">
        <v>707</v>
      </c>
      <c r="C27" s="218" t="s">
        <v>695</v>
      </c>
      <c r="D27" s="227">
        <v>2.3999999999999998E-3</v>
      </c>
      <c r="E27" s="219">
        <f t="shared" si="5"/>
        <v>0</v>
      </c>
      <c r="F27" s="213">
        <v>1</v>
      </c>
      <c r="G27" s="193">
        <f t="shared" si="4"/>
        <v>0</v>
      </c>
    </row>
    <row r="28" spans="2:16" ht="14.25" x14ac:dyDescent="0.2">
      <c r="B28" s="217" t="s">
        <v>708</v>
      </c>
      <c r="C28" s="218" t="s">
        <v>695</v>
      </c>
      <c r="D28" s="227">
        <v>1.1000000000000001E-3</v>
      </c>
      <c r="E28" s="219">
        <f t="shared" si="5"/>
        <v>0</v>
      </c>
      <c r="F28" s="213">
        <v>1</v>
      </c>
      <c r="G28" s="193">
        <f t="shared" si="4"/>
        <v>0</v>
      </c>
    </row>
    <row r="29" spans="2:16" ht="14.25" x14ac:dyDescent="0.2">
      <c r="B29" s="217" t="s">
        <v>2121</v>
      </c>
      <c r="C29" s="218" t="s">
        <v>695</v>
      </c>
      <c r="D29" s="227">
        <v>6.8999999999999999E-3</v>
      </c>
      <c r="E29" s="219">
        <f t="shared" si="5"/>
        <v>0</v>
      </c>
      <c r="F29" s="213">
        <v>1</v>
      </c>
      <c r="G29" s="193">
        <f t="shared" si="4"/>
        <v>0</v>
      </c>
    </row>
    <row r="30" spans="2:16" ht="14.25" x14ac:dyDescent="0.2">
      <c r="B30" s="217" t="s">
        <v>2096</v>
      </c>
      <c r="C30" s="218" t="s">
        <v>695</v>
      </c>
      <c r="D30" s="227">
        <v>0.05</v>
      </c>
      <c r="E30" s="219">
        <f t="shared" si="5"/>
        <v>0</v>
      </c>
      <c r="F30" s="213">
        <v>1</v>
      </c>
      <c r="G30" s="193">
        <f t="shared" si="4"/>
        <v>0</v>
      </c>
    </row>
    <row r="31" spans="2:16" s="1141" customFormat="1" ht="12.75" customHeight="1" x14ac:dyDescent="0.2">
      <c r="B31" s="217" t="s">
        <v>2760</v>
      </c>
      <c r="C31" s="218" t="s">
        <v>695</v>
      </c>
      <c r="D31" s="227">
        <v>0.01</v>
      </c>
      <c r="E31" s="219">
        <f t="shared" si="5"/>
        <v>0</v>
      </c>
      <c r="F31" s="213">
        <v>1</v>
      </c>
      <c r="G31" s="193">
        <f t="shared" si="4"/>
        <v>0</v>
      </c>
      <c r="L31" s="1142"/>
      <c r="M31" s="1142"/>
      <c r="N31" s="1142"/>
      <c r="O31" s="1142"/>
    </row>
    <row r="32" spans="2:16" s="1141" customFormat="1" ht="12.75" customHeight="1" x14ac:dyDescent="0.2">
      <c r="B32" s="217" t="s">
        <v>2761</v>
      </c>
      <c r="C32" s="218" t="s">
        <v>695</v>
      </c>
      <c r="D32" s="227">
        <v>4.0000000000000001E-3</v>
      </c>
      <c r="E32" s="219">
        <f t="shared" si="5"/>
        <v>0</v>
      </c>
      <c r="F32" s="213">
        <v>2</v>
      </c>
      <c r="G32" s="193">
        <f t="shared" ref="G32" si="6">+ROUND(E32*D32*F32,0)</f>
        <v>0</v>
      </c>
      <c r="L32" s="1142"/>
      <c r="M32" s="1142"/>
      <c r="N32" s="1142"/>
      <c r="O32" s="1142"/>
    </row>
    <row r="33" spans="2:18" ht="17.25" customHeight="1" thickBot="1" x14ac:dyDescent="0.3">
      <c r="B33" s="226" t="s">
        <v>713</v>
      </c>
      <c r="C33" s="218"/>
      <c r="D33" s="227"/>
      <c r="E33" s="219"/>
      <c r="F33" s="213"/>
      <c r="G33" s="193"/>
      <c r="I33" s="222"/>
      <c r="J33" s="220"/>
      <c r="K33" s="222"/>
      <c r="L33" s="223"/>
      <c r="M33" s="222"/>
      <c r="N33" s="223"/>
      <c r="O33" s="223"/>
    </row>
    <row r="34" spans="2:18" ht="14.25" x14ac:dyDescent="0.2">
      <c r="B34" s="217" t="s">
        <v>725</v>
      </c>
      <c r="C34" s="230" t="s">
        <v>2012</v>
      </c>
      <c r="D34" s="232">
        <f t="shared" ref="D34:D35" si="7">$G$8</f>
        <v>4</v>
      </c>
      <c r="E34" s="219">
        <f>+T13</f>
        <v>1260000</v>
      </c>
      <c r="F34" s="235">
        <v>1</v>
      </c>
      <c r="G34" s="193">
        <f>+ROUND(E34*D34*F34,0)</f>
        <v>5040000</v>
      </c>
      <c r="Q34" s="1697" t="e">
        <f>+G52</f>
        <v>#DIV/0!</v>
      </c>
      <c r="R34" s="1698"/>
    </row>
    <row r="35" spans="2:18" ht="12.75" customHeight="1" x14ac:dyDescent="0.2">
      <c r="B35" s="217" t="s">
        <v>726</v>
      </c>
      <c r="C35" s="218" t="s">
        <v>2012</v>
      </c>
      <c r="D35" s="232">
        <f t="shared" si="7"/>
        <v>4</v>
      </c>
      <c r="E35" s="219">
        <f>+T14</f>
        <v>1508181</v>
      </c>
      <c r="F35" s="235">
        <v>1</v>
      </c>
      <c r="G35" s="193">
        <f>+ROUND(E35*D35*F35,0)</f>
        <v>6032724</v>
      </c>
      <c r="Q35" s="1699"/>
      <c r="R35" s="1700"/>
    </row>
    <row r="36" spans="2:18" ht="12.75" customHeight="1" thickBot="1" x14ac:dyDescent="0.25">
      <c r="B36" s="284" t="s">
        <v>717</v>
      </c>
      <c r="C36" s="289"/>
      <c r="D36" s="290"/>
      <c r="E36" s="219"/>
      <c r="F36" s="291"/>
      <c r="G36" s="283"/>
      <c r="Q36" s="1701"/>
      <c r="R36" s="1702"/>
    </row>
    <row r="37" spans="2:18" ht="14.25" x14ac:dyDescent="0.2">
      <c r="B37" s="190" t="s">
        <v>718</v>
      </c>
      <c r="C37" s="289" t="s">
        <v>2012</v>
      </c>
      <c r="D37" s="232">
        <f t="shared" ref="D37:D40" si="8">$G$8</f>
        <v>4</v>
      </c>
      <c r="E37" s="219">
        <f>+T7</f>
        <v>8000000</v>
      </c>
      <c r="F37" s="292">
        <v>0.1</v>
      </c>
      <c r="G37" s="283">
        <f>+ROUND(E37*D37*F37,0)</f>
        <v>3200000</v>
      </c>
    </row>
    <row r="38" spans="2:18" ht="14.25" x14ac:dyDescent="0.2">
      <c r="B38" s="190" t="s">
        <v>719</v>
      </c>
      <c r="C38" s="289" t="s">
        <v>2012</v>
      </c>
      <c r="D38" s="232">
        <f t="shared" si="8"/>
        <v>4</v>
      </c>
      <c r="E38" s="219">
        <f>+T8</f>
        <v>4800000</v>
      </c>
      <c r="F38" s="292">
        <v>1</v>
      </c>
      <c r="G38" s="283">
        <f>+ROUND(E38*D38*F38,0)</f>
        <v>19200000</v>
      </c>
    </row>
    <row r="39" spans="2:18" ht="12.75" customHeight="1" x14ac:dyDescent="0.2">
      <c r="B39" s="190" t="s">
        <v>2762</v>
      </c>
      <c r="C39" s="289" t="s">
        <v>2012</v>
      </c>
      <c r="D39" s="232">
        <f t="shared" si="8"/>
        <v>4</v>
      </c>
      <c r="E39" s="219">
        <f>+T10</f>
        <v>2880000</v>
      </c>
      <c r="F39" s="292">
        <v>0.5</v>
      </c>
      <c r="G39" s="283">
        <f>+ROUND(E39*D39*F39,0)</f>
        <v>5760000</v>
      </c>
    </row>
    <row r="40" spans="2:18" ht="12.75" customHeight="1" x14ac:dyDescent="0.2">
      <c r="B40" s="190" t="s">
        <v>2763</v>
      </c>
      <c r="C40" s="289" t="s">
        <v>2012</v>
      </c>
      <c r="D40" s="232">
        <f t="shared" si="8"/>
        <v>4</v>
      </c>
      <c r="E40" s="219">
        <f>+T11</f>
        <v>2880000</v>
      </c>
      <c r="F40" s="292">
        <v>1</v>
      </c>
      <c r="G40" s="283">
        <f>+ROUND(E40*D40*F40,0)</f>
        <v>11520000</v>
      </c>
    </row>
    <row r="41" spans="2:18" ht="12.75" customHeight="1" x14ac:dyDescent="0.2">
      <c r="B41" s="284" t="s">
        <v>2755</v>
      </c>
      <c r="C41" s="289"/>
      <c r="D41" s="290"/>
      <c r="E41" s="219"/>
      <c r="F41" s="292"/>
      <c r="G41" s="283"/>
    </row>
    <row r="42" spans="2:18" s="1141" customFormat="1" ht="12.75" customHeight="1" x14ac:dyDescent="0.2">
      <c r="B42" s="190" t="s">
        <v>2756</v>
      </c>
      <c r="C42" s="289" t="s">
        <v>913</v>
      </c>
      <c r="D42" s="290">
        <v>1</v>
      </c>
      <c r="E42" s="219">
        <v>800000</v>
      </c>
      <c r="F42" s="292">
        <v>1</v>
      </c>
      <c r="G42" s="283">
        <f t="shared" ref="G42:G44" si="9">+ROUND(E42*D42*F42,0)</f>
        <v>800000</v>
      </c>
      <c r="L42" s="1142"/>
      <c r="M42" s="1142"/>
      <c r="N42" s="1142"/>
      <c r="O42" s="1142"/>
    </row>
    <row r="43" spans="2:18" s="1141" customFormat="1" ht="27" customHeight="1" x14ac:dyDescent="0.2">
      <c r="B43" s="1143" t="s">
        <v>2757</v>
      </c>
      <c r="C43" s="289" t="s">
        <v>2758</v>
      </c>
      <c r="D43" s="232">
        <f t="shared" ref="D43:D44" si="10">$G$8</f>
        <v>4</v>
      </c>
      <c r="E43" s="219">
        <v>600000</v>
      </c>
      <c r="F43" s="292">
        <v>1</v>
      </c>
      <c r="G43" s="283">
        <f t="shared" si="9"/>
        <v>2400000</v>
      </c>
      <c r="L43" s="1142"/>
      <c r="M43" s="1142"/>
      <c r="N43" s="1142"/>
      <c r="O43" s="1142"/>
    </row>
    <row r="44" spans="2:18" s="1141" customFormat="1" ht="14.25" x14ac:dyDescent="0.2">
      <c r="B44" s="190" t="s">
        <v>2759</v>
      </c>
      <c r="C44" s="289" t="s">
        <v>2758</v>
      </c>
      <c r="D44" s="232">
        <f t="shared" si="10"/>
        <v>4</v>
      </c>
      <c r="E44" s="219">
        <v>800000</v>
      </c>
      <c r="F44" s="292">
        <v>1</v>
      </c>
      <c r="G44" s="283">
        <f t="shared" si="9"/>
        <v>3200000</v>
      </c>
      <c r="L44" s="1142"/>
      <c r="M44" s="1142"/>
      <c r="N44" s="1142"/>
      <c r="O44" s="1142"/>
    </row>
    <row r="45" spans="2:18" ht="14.25" x14ac:dyDescent="0.2">
      <c r="B45" s="190"/>
      <c r="C45" s="289"/>
      <c r="D45" s="290"/>
      <c r="E45" s="219"/>
      <c r="F45" s="219"/>
      <c r="G45" s="283"/>
    </row>
    <row r="46" spans="2:18" ht="35.25" customHeight="1" x14ac:dyDescent="0.2">
      <c r="B46" s="1074" t="s">
        <v>720</v>
      </c>
      <c r="C46" s="191"/>
      <c r="D46" s="191"/>
      <c r="E46" s="219"/>
      <c r="F46" s="219"/>
      <c r="G46" s="1075">
        <f>SUM(G15:G44)</f>
        <v>62952724</v>
      </c>
    </row>
    <row r="47" spans="2:18" ht="15" customHeight="1" x14ac:dyDescent="0.2">
      <c r="B47" s="190"/>
      <c r="C47" s="191"/>
      <c r="D47" s="191"/>
      <c r="E47" s="219"/>
      <c r="F47" s="219"/>
      <c r="G47" s="283"/>
    </row>
    <row r="48" spans="2:18" ht="14.25" x14ac:dyDescent="0.2">
      <c r="B48" s="295" t="s">
        <v>721</v>
      </c>
      <c r="C48" s="191"/>
      <c r="D48" s="191"/>
      <c r="E48" s="219"/>
      <c r="F48" s="219"/>
      <c r="G48" s="304" t="e">
        <f>+G46/G9</f>
        <v>#DIV/0!</v>
      </c>
    </row>
    <row r="49" spans="2:7" ht="14.25" x14ac:dyDescent="0.2">
      <c r="B49" s="190" t="s">
        <v>722</v>
      </c>
      <c r="C49" s="191"/>
      <c r="D49" s="191"/>
      <c r="E49" s="219"/>
      <c r="F49" s="219"/>
      <c r="G49" s="287">
        <v>0.02</v>
      </c>
    </row>
    <row r="50" spans="2:7" ht="14.25" x14ac:dyDescent="0.2">
      <c r="B50" s="190" t="s">
        <v>723</v>
      </c>
      <c r="C50" s="191"/>
      <c r="D50" s="191"/>
      <c r="E50" s="219"/>
      <c r="F50" s="219"/>
      <c r="G50" s="287">
        <v>0.05</v>
      </c>
    </row>
    <row r="51" spans="2:7" ht="15.75" customHeight="1" x14ac:dyDescent="0.25">
      <c r="B51" s="186"/>
      <c r="C51" s="293"/>
      <c r="D51" s="293"/>
      <c r="E51" s="293"/>
      <c r="F51" s="293"/>
      <c r="G51" s="288"/>
    </row>
    <row r="52" spans="2:7" ht="16.5" thickBot="1" x14ac:dyDescent="0.3">
      <c r="B52" s="286" t="s">
        <v>724</v>
      </c>
      <c r="C52" s="294"/>
      <c r="D52" s="294"/>
      <c r="E52" s="294"/>
      <c r="F52" s="294"/>
      <c r="G52" s="798" t="e">
        <f>SUM(G48:G50)</f>
        <v>#DIV/0!</v>
      </c>
    </row>
    <row r="53" spans="2:7" x14ac:dyDescent="0.2">
      <c r="B53" s="181"/>
      <c r="C53" s="181"/>
      <c r="D53" s="181"/>
      <c r="E53" s="181"/>
      <c r="F53" s="181"/>
      <c r="G53" s="231"/>
    </row>
  </sheetData>
  <sheetProtection algorithmName="SHA-512" hashValue="a6KddqIA3697yHw1xbXaOidWFgkA9QR3p9QzRvtIWQl4wylKM2TlOKYN6OLkrFOn6/geRKLPC3grDSpe1ZUeJg==" saltValue="YcnhpMRxYU1y20gs6nRfxw==" spinCount="100000" sheet="1" formatCells="0" formatColumns="0" formatRows="0" insertColumns="0" insertRows="0" insertHyperlinks="0" deleteColumns="0" deleteRows="0" sort="0" autoFilter="0" pivotTables="0"/>
  <mergeCells count="6">
    <mergeCell ref="I15:O15"/>
    <mergeCell ref="Q34:R36"/>
    <mergeCell ref="B4:G4"/>
    <mergeCell ref="B5:G6"/>
    <mergeCell ref="A1:T1"/>
    <mergeCell ref="A2:T2"/>
  </mergeCells>
  <phoneticPr fontId="32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scale="46" fitToHeight="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B2:W592"/>
  <sheetViews>
    <sheetView view="pageBreakPreview" topLeftCell="A44" zoomScale="80" zoomScaleSheetLayoutView="80" workbookViewId="0">
      <selection activeCell="F81" sqref="F81"/>
    </sheetView>
  </sheetViews>
  <sheetFormatPr baseColWidth="10" defaultRowHeight="12.75" x14ac:dyDescent="0.2"/>
  <cols>
    <col min="1" max="1" width="11.42578125" style="159"/>
    <col min="2" max="2" width="3.140625" style="159" customWidth="1"/>
    <col min="3" max="3" width="8.7109375" style="265" bestFit="1" customWidth="1"/>
    <col min="4" max="4" width="54.140625" style="159" customWidth="1"/>
    <col min="5" max="5" width="11" style="265" bestFit="1" customWidth="1"/>
    <col min="6" max="6" width="16.28515625" style="1209" customWidth="1"/>
    <col min="7" max="7" width="11.42578125" style="161" customWidth="1"/>
    <col min="8" max="8" width="17.140625" style="266" customWidth="1"/>
    <col min="9" max="9" width="14.28515625" style="266" customWidth="1"/>
    <col min="10" max="10" width="13.85546875" style="266" bestFit="1" customWidth="1"/>
    <col min="11" max="11" width="13.140625" style="266" customWidth="1"/>
    <col min="12" max="12" width="2" style="159" customWidth="1"/>
    <col min="13" max="15" width="11.42578125" style="159"/>
    <col min="16" max="16" width="46.85546875" style="159" customWidth="1"/>
    <col min="17" max="16384" width="11.42578125" style="159"/>
  </cols>
  <sheetData>
    <row r="2" spans="2:11" ht="15" x14ac:dyDescent="0.2">
      <c r="C2" s="1714" t="s">
        <v>2085</v>
      </c>
      <c r="D2" s="1714"/>
      <c r="E2" s="1714"/>
      <c r="F2" s="1714"/>
      <c r="G2" s="1714"/>
      <c r="H2" s="1714"/>
      <c r="I2" s="1714"/>
      <c r="J2" s="1714"/>
      <c r="K2" s="1714"/>
    </row>
    <row r="3" spans="2:11" x14ac:dyDescent="0.2">
      <c r="C3" s="1718" t="str">
        <f>Presupuesto!A2</f>
        <v>PRESUPUESTO  OBRAS DE MEJORAMIENTO  ALCANTARILLADO EN LA ZONA URBANA EN EL MUNICIPIO DE LA VICTORIA CALDAS</v>
      </c>
      <c r="D3" s="1718"/>
      <c r="E3" s="1718"/>
      <c r="F3" s="1718"/>
      <c r="G3" s="1718"/>
      <c r="H3" s="1718"/>
      <c r="I3" s="1718"/>
      <c r="J3" s="1718"/>
      <c r="K3" s="1718"/>
    </row>
    <row r="4" spans="2:11" x14ac:dyDescent="0.2">
      <c r="C4" s="1718"/>
      <c r="D4" s="1718"/>
      <c r="E4" s="1718"/>
      <c r="F4" s="1718"/>
      <c r="G4" s="1718"/>
      <c r="H4" s="1718"/>
      <c r="I4" s="1718"/>
      <c r="J4" s="1718"/>
      <c r="K4" s="1718"/>
    </row>
    <row r="5" spans="2:11" ht="15.75" thickBot="1" x14ac:dyDescent="0.25">
      <c r="C5" s="1198"/>
      <c r="D5" s="1198"/>
      <c r="E5" s="1198"/>
      <c r="F5" s="1198"/>
      <c r="G5" s="1198"/>
      <c r="H5" s="1198"/>
      <c r="I5" s="1198"/>
      <c r="J5" s="160" t="s">
        <v>2724</v>
      </c>
      <c r="K5" s="1198"/>
    </row>
    <row r="6" spans="2:11" ht="13.5" thickBot="1" x14ac:dyDescent="0.25">
      <c r="C6" s="1715" t="s">
        <v>1390</v>
      </c>
      <c r="D6" s="1716"/>
      <c r="E6" s="1716"/>
      <c r="F6" s="1716"/>
      <c r="G6" s="1716"/>
      <c r="H6" s="1716"/>
      <c r="I6" s="1716"/>
      <c r="J6" s="1716"/>
      <c r="K6" s="1717"/>
    </row>
    <row r="8" spans="2:11" ht="13.5" thickBot="1" x14ac:dyDescent="0.25">
      <c r="F8" s="266"/>
    </row>
    <row r="9" spans="2:11" ht="13.5" thickBot="1" x14ac:dyDescent="0.25">
      <c r="C9" s="296" t="s">
        <v>1518</v>
      </c>
      <c r="D9" s="945" t="s">
        <v>1519</v>
      </c>
      <c r="E9" s="296" t="s">
        <v>931</v>
      </c>
      <c r="F9" s="946" t="s">
        <v>1532</v>
      </c>
      <c r="H9" s="272" t="s">
        <v>1523</v>
      </c>
      <c r="I9" s="273" t="s">
        <v>1524</v>
      </c>
      <c r="J9" s="274" t="s">
        <v>1525</v>
      </c>
      <c r="K9" s="275" t="s">
        <v>1526</v>
      </c>
    </row>
    <row r="10" spans="2:11" ht="26.25" thickBot="1" x14ac:dyDescent="0.25">
      <c r="C10" s="947" t="s">
        <v>2005</v>
      </c>
      <c r="D10" s="948" t="s">
        <v>2006</v>
      </c>
      <c r="E10" s="947" t="s">
        <v>1265</v>
      </c>
      <c r="F10" s="949">
        <f>SUM(H16:K16,0)</f>
        <v>1788</v>
      </c>
      <c r="H10" s="263">
        <f>+H16</f>
        <v>271</v>
      </c>
      <c r="I10" s="261">
        <f>+I16</f>
        <v>352</v>
      </c>
      <c r="J10" s="261">
        <f>+J16</f>
        <v>1165</v>
      </c>
      <c r="K10" s="264">
        <f>+K16</f>
        <v>0</v>
      </c>
    </row>
    <row r="11" spans="2:11" ht="13.5" thickBot="1" x14ac:dyDescent="0.25">
      <c r="B11" s="160"/>
      <c r="C11" s="237" t="s">
        <v>1521</v>
      </c>
      <c r="D11" s="238" t="s">
        <v>930</v>
      </c>
      <c r="E11" s="239" t="s">
        <v>931</v>
      </c>
      <c r="F11" s="240" t="s">
        <v>1522</v>
      </c>
      <c r="G11" s="158" t="s">
        <v>932</v>
      </c>
      <c r="H11" s="241" t="s">
        <v>1523</v>
      </c>
      <c r="I11" s="240" t="s">
        <v>1524</v>
      </c>
      <c r="J11" s="242" t="s">
        <v>1525</v>
      </c>
      <c r="K11" s="243" t="s">
        <v>1526</v>
      </c>
    </row>
    <row r="12" spans="2:11" x14ac:dyDescent="0.2">
      <c r="C12" s="1199" t="s">
        <v>1619</v>
      </c>
      <c r="D12" s="1200" t="str">
        <f>VLOOKUP(C12,'Valor Materiales'!B:E,2,0)</f>
        <v>Herramienta Menor General</v>
      </c>
      <c r="E12" s="1201" t="str">
        <f>VLOOKUP(C12,'Valor Materiales'!B:E,3,0)</f>
        <v>Un</v>
      </c>
      <c r="F12" s="244">
        <f>VLOOKUP(C12,'Valor Materiales'!B:E,4,0)</f>
        <v>902</v>
      </c>
      <c r="G12" s="1200">
        <v>0.3</v>
      </c>
      <c r="H12" s="1202">
        <f>+ROUND(F12*G12,0)</f>
        <v>271</v>
      </c>
      <c r="I12" s="248">
        <v>0</v>
      </c>
      <c r="J12" s="248">
        <v>0</v>
      </c>
      <c r="K12" s="1203">
        <v>0</v>
      </c>
    </row>
    <row r="13" spans="2:11" x14ac:dyDescent="0.2">
      <c r="C13" s="1204" t="s">
        <v>1529</v>
      </c>
      <c r="D13" s="252" t="str">
        <f>VLOOKUP(C13,'Valor Materiales'!B:E,2,0)</f>
        <v>Materiales Varios</v>
      </c>
      <c r="E13" s="256" t="str">
        <f>VLOOKUP(C13,'Valor Materiales'!B:E,3,0)</f>
        <v>Gr</v>
      </c>
      <c r="F13" s="254">
        <f>VLOOKUP(C13,'Valor Materiales'!B:E,4,0)</f>
        <v>1600</v>
      </c>
      <c r="G13" s="252">
        <v>0.22</v>
      </c>
      <c r="H13" s="253">
        <v>0</v>
      </c>
      <c r="I13" s="254">
        <f>+F13*G13</f>
        <v>352</v>
      </c>
      <c r="J13" s="254">
        <v>0</v>
      </c>
      <c r="K13" s="1205">
        <v>0</v>
      </c>
    </row>
    <row r="14" spans="2:11" x14ac:dyDescent="0.2">
      <c r="C14" s="1206" t="s">
        <v>1341</v>
      </c>
      <c r="D14" s="252" t="str">
        <f>VLOOKUP(C14,'Valor Materiales'!B:E,2,0)</f>
        <v xml:space="preserve">Comisión de Topografía con Equipos </v>
      </c>
      <c r="E14" s="256" t="str">
        <f>VLOOKUP(C14,'Valor Materiales'!B:E,3,0)</f>
        <v>Día</v>
      </c>
      <c r="F14" s="254">
        <f>VLOOKUP(C14,'Valor Materiales'!B:E,4,0)</f>
        <v>350000</v>
      </c>
      <c r="G14" s="1207">
        <v>2.8999999999999998E-3</v>
      </c>
      <c r="H14" s="253">
        <v>0</v>
      </c>
      <c r="I14" s="258">
        <v>0</v>
      </c>
      <c r="J14" s="258">
        <f>+G14*F14</f>
        <v>1014.9999999999999</v>
      </c>
      <c r="K14" s="259">
        <v>0</v>
      </c>
    </row>
    <row r="15" spans="2:11" ht="13.5" thickBot="1" x14ac:dyDescent="0.25">
      <c r="C15" s="1208" t="s">
        <v>2004</v>
      </c>
      <c r="D15" s="147" t="str">
        <f>VLOOKUP(C15,'Valor Materiales'!B:E,2,0)</f>
        <v>Dibujante Plano Record</v>
      </c>
      <c r="E15" s="260" t="str">
        <f>VLOOKUP(C15,'Valor Materiales'!B:E,3,0)</f>
        <v>Día</v>
      </c>
      <c r="F15" s="261">
        <f>VLOOKUP(C15,'Valor Materiales'!B:E,4,0)</f>
        <v>50000</v>
      </c>
      <c r="G15" s="147">
        <v>3.0000000000000001E-3</v>
      </c>
      <c r="H15" s="263">
        <v>0</v>
      </c>
      <c r="I15" s="261">
        <v>0</v>
      </c>
      <c r="J15" s="261">
        <f>+F15*G15</f>
        <v>150</v>
      </c>
      <c r="K15" s="264">
        <v>0</v>
      </c>
    </row>
    <row r="16" spans="2:11" ht="13.5" thickBot="1" x14ac:dyDescent="0.25">
      <c r="F16" s="266"/>
      <c r="H16" s="267">
        <f>SUM(H12:H15)</f>
        <v>271</v>
      </c>
      <c r="I16" s="267">
        <f t="shared" ref="I16:K16" si="0">SUM(I12:I15)</f>
        <v>352</v>
      </c>
      <c r="J16" s="267">
        <f t="shared" si="0"/>
        <v>1165</v>
      </c>
      <c r="K16" s="267">
        <f t="shared" si="0"/>
        <v>0</v>
      </c>
    </row>
    <row r="17" spans="3:11" x14ac:dyDescent="0.2">
      <c r="F17" s="266"/>
      <c r="H17" s="1209"/>
      <c r="I17" s="1209"/>
      <c r="J17" s="1209"/>
      <c r="K17" s="1209"/>
    </row>
    <row r="18" spans="3:11" ht="13.5" thickBot="1" x14ac:dyDescent="0.25">
      <c r="F18" s="266"/>
    </row>
    <row r="19" spans="3:11" ht="13.5" thickBot="1" x14ac:dyDescent="0.25">
      <c r="C19" s="1715" t="s">
        <v>2106</v>
      </c>
      <c r="D19" s="1716"/>
      <c r="E19" s="1716"/>
      <c r="F19" s="1716"/>
      <c r="G19" s="1716"/>
      <c r="H19" s="1716"/>
      <c r="I19" s="1716"/>
      <c r="J19" s="1716"/>
      <c r="K19" s="1717"/>
    </row>
    <row r="20" spans="3:11" ht="13.5" thickBot="1" x14ac:dyDescent="0.25"/>
    <row r="21" spans="3:11" ht="13.5" thickBot="1" x14ac:dyDescent="0.25">
      <c r="C21" s="296" t="s">
        <v>1518</v>
      </c>
      <c r="D21" s="945" t="s">
        <v>1519</v>
      </c>
      <c r="E21" s="296" t="s">
        <v>931</v>
      </c>
      <c r="F21" s="946" t="s">
        <v>1532</v>
      </c>
      <c r="H21" s="272" t="s">
        <v>1523</v>
      </c>
      <c r="I21" s="273" t="s">
        <v>1524</v>
      </c>
      <c r="J21" s="274" t="s">
        <v>1525</v>
      </c>
      <c r="K21" s="275" t="s">
        <v>1526</v>
      </c>
    </row>
    <row r="22" spans="3:11" ht="15" thickBot="1" x14ac:dyDescent="0.25">
      <c r="C22" s="947" t="s">
        <v>2101</v>
      </c>
      <c r="D22" s="948" t="s">
        <v>2953</v>
      </c>
      <c r="E22" s="947" t="s">
        <v>938</v>
      </c>
      <c r="F22" s="949">
        <f>SUM(H22:K22)</f>
        <v>77513.838749999995</v>
      </c>
      <c r="H22" s="263">
        <f>+H28</f>
        <v>61802</v>
      </c>
      <c r="I22" s="261">
        <v>361.6</v>
      </c>
      <c r="J22" s="261">
        <f>+J28</f>
        <v>15350.23875</v>
      </c>
      <c r="K22" s="264">
        <v>0</v>
      </c>
    </row>
    <row r="23" spans="3:11" ht="13.5" thickBot="1" x14ac:dyDescent="0.25">
      <c r="C23" s="237" t="s">
        <v>1521</v>
      </c>
      <c r="D23" s="238" t="s">
        <v>930</v>
      </c>
      <c r="E23" s="239" t="s">
        <v>931</v>
      </c>
      <c r="F23" s="240" t="s">
        <v>1522</v>
      </c>
      <c r="G23" s="158" t="s">
        <v>932</v>
      </c>
      <c r="H23" s="241" t="s">
        <v>1523</v>
      </c>
      <c r="I23" s="240" t="s">
        <v>1524</v>
      </c>
      <c r="J23" s="242" t="s">
        <v>1525</v>
      </c>
      <c r="K23" s="243" t="s">
        <v>1526</v>
      </c>
    </row>
    <row r="24" spans="3:11" x14ac:dyDescent="0.2">
      <c r="C24" s="1199" t="s">
        <v>1619</v>
      </c>
      <c r="D24" s="1210" t="str">
        <f>VLOOKUP(C24,'Valor Materiales'!B:E,2,0)</f>
        <v>Herramienta Menor General</v>
      </c>
      <c r="E24" s="1211" t="str">
        <f>VLOOKUP(C24,'Valor Materiales'!B:E,3,0)</f>
        <v>Un</v>
      </c>
      <c r="F24" s="254">
        <f>VLOOKUP(C24,'Valor Materiales'!B:E,4,0)</f>
        <v>902</v>
      </c>
      <c r="G24" s="1200">
        <v>1</v>
      </c>
      <c r="H24" s="1212">
        <v>902</v>
      </c>
      <c r="I24" s="244">
        <v>0</v>
      </c>
      <c r="J24" s="244">
        <v>0</v>
      </c>
      <c r="K24" s="245">
        <v>0</v>
      </c>
    </row>
    <row r="25" spans="3:11" x14ac:dyDescent="0.2">
      <c r="C25" s="1204" t="s">
        <v>1347</v>
      </c>
      <c r="D25" s="1210" t="str">
        <f>VLOOKUP(C25,'Valor Materiales'!B:E,2,0)</f>
        <v>Compresor 1 Martillo</v>
      </c>
      <c r="E25" s="1211" t="str">
        <f>VLOOKUP(C25,'Valor Materiales'!B:E,3,0)</f>
        <v>Hora</v>
      </c>
      <c r="F25" s="254">
        <f>VLOOKUP(C25,'Valor Materiales'!B:E,4,0)</f>
        <v>40600</v>
      </c>
      <c r="G25" s="252">
        <v>1.5</v>
      </c>
      <c r="H25" s="253">
        <f>G25*F25</f>
        <v>60900</v>
      </c>
      <c r="I25" s="254">
        <v>0</v>
      </c>
      <c r="J25" s="254">
        <v>0</v>
      </c>
      <c r="K25" s="1205">
        <v>0</v>
      </c>
    </row>
    <row r="26" spans="3:11" x14ac:dyDescent="0.2">
      <c r="C26" s="1204" t="s">
        <v>1529</v>
      </c>
      <c r="D26" s="1210" t="str">
        <f>VLOOKUP(C26,'Valor Materiales'!B:E,2,0)</f>
        <v>Materiales Varios</v>
      </c>
      <c r="E26" s="1211" t="str">
        <f>VLOOKUP(C26,'Valor Materiales'!B:E,3,0)</f>
        <v>Gr</v>
      </c>
      <c r="F26" s="254">
        <f>VLOOKUP(C26,'Valor Materiales'!B:E,4,0)</f>
        <v>1600</v>
      </c>
      <c r="G26" s="252">
        <v>0.22600000000000001</v>
      </c>
      <c r="H26" s="253">
        <v>0</v>
      </c>
      <c r="I26" s="254">
        <f>G26*F26</f>
        <v>361.6</v>
      </c>
      <c r="J26" s="254">
        <v>0</v>
      </c>
      <c r="K26" s="1205">
        <v>0</v>
      </c>
    </row>
    <row r="27" spans="3:11" ht="13.5" thickBot="1" x14ac:dyDescent="0.25">
      <c r="C27" s="1208" t="s">
        <v>1597</v>
      </c>
      <c r="D27" s="1213" t="str">
        <f>VLOOKUP(C27,'Valor Materiales'!B:E,2,0)</f>
        <v>Cuadrilla tipo I (1of + 1ay)</v>
      </c>
      <c r="E27" s="1214" t="str">
        <f>VLOOKUP(C27,'Valor Materiales'!B:E,3,0)</f>
        <v>Hr</v>
      </c>
      <c r="F27" s="261">
        <f>VLOOKUP(C27,'Valor Materiales'!B:E,4,0)</f>
        <v>17443.453125</v>
      </c>
      <c r="G27" s="147">
        <v>0.88</v>
      </c>
      <c r="H27" s="263">
        <v>0</v>
      </c>
      <c r="I27" s="261">
        <v>0</v>
      </c>
      <c r="J27" s="261">
        <f>G27*F27</f>
        <v>15350.23875</v>
      </c>
      <c r="K27" s="264">
        <v>0</v>
      </c>
    </row>
    <row r="28" spans="3:11" ht="13.5" thickBot="1" x14ac:dyDescent="0.25">
      <c r="F28" s="266"/>
      <c r="H28" s="267">
        <f>SUM(H24:H27)</f>
        <v>61802</v>
      </c>
      <c r="I28" s="267">
        <f t="shared" ref="I28:K28" si="1">SUM(I24:I27)</f>
        <v>361.6</v>
      </c>
      <c r="J28" s="267">
        <f t="shared" si="1"/>
        <v>15350.23875</v>
      </c>
      <c r="K28" s="267">
        <f t="shared" si="1"/>
        <v>0</v>
      </c>
    </row>
    <row r="29" spans="3:11" ht="13.5" thickBot="1" x14ac:dyDescent="0.25"/>
    <row r="30" spans="3:11" ht="13.5" thickBot="1" x14ac:dyDescent="0.25">
      <c r="C30" s="296" t="s">
        <v>1518</v>
      </c>
      <c r="D30" s="945" t="s">
        <v>1519</v>
      </c>
      <c r="E30" s="296" t="s">
        <v>931</v>
      </c>
      <c r="F30" s="946" t="s">
        <v>1532</v>
      </c>
      <c r="H30" s="272" t="s">
        <v>1523</v>
      </c>
      <c r="I30" s="273" t="s">
        <v>1524</v>
      </c>
      <c r="J30" s="274" t="s">
        <v>1525</v>
      </c>
      <c r="K30" s="275" t="s">
        <v>1526</v>
      </c>
    </row>
    <row r="31" spans="3:11" ht="26.25" thickBot="1" x14ac:dyDescent="0.25">
      <c r="C31" s="947" t="s">
        <v>2104</v>
      </c>
      <c r="D31" s="948" t="s">
        <v>2105</v>
      </c>
      <c r="E31" s="947" t="s">
        <v>938</v>
      </c>
      <c r="F31" s="949">
        <f>SUM(H31:K31)</f>
        <v>49762.638749999998</v>
      </c>
      <c r="G31" s="1209"/>
      <c r="H31" s="263">
        <f>+H37</f>
        <v>33382</v>
      </c>
      <c r="I31" s="261">
        <f>+I37</f>
        <v>1030.4000000000001</v>
      </c>
      <c r="J31" s="261">
        <f>+J37</f>
        <v>15350.23875</v>
      </c>
      <c r="K31" s="264">
        <v>0</v>
      </c>
    </row>
    <row r="32" spans="3:11" ht="13.5" thickBot="1" x14ac:dyDescent="0.25">
      <c r="C32" s="237" t="s">
        <v>1521</v>
      </c>
      <c r="D32" s="238" t="s">
        <v>930</v>
      </c>
      <c r="E32" s="239" t="s">
        <v>931</v>
      </c>
      <c r="F32" s="240" t="s">
        <v>1522</v>
      </c>
      <c r="G32" s="158" t="s">
        <v>932</v>
      </c>
      <c r="H32" s="241" t="s">
        <v>1523</v>
      </c>
      <c r="I32" s="240" t="s">
        <v>1524</v>
      </c>
      <c r="J32" s="242" t="s">
        <v>1525</v>
      </c>
      <c r="K32" s="243" t="s">
        <v>1526</v>
      </c>
    </row>
    <row r="33" spans="3:21" x14ac:dyDescent="0.2">
      <c r="C33" s="1199" t="s">
        <v>1619</v>
      </c>
      <c r="D33" s="1210" t="str">
        <f>VLOOKUP(C33,'Valor Materiales'!B:E,2,0)</f>
        <v>Herramienta Menor General</v>
      </c>
      <c r="E33" s="1211" t="str">
        <f>VLOOKUP(C33,'Valor Materiales'!B:E,3,0)</f>
        <v>Un</v>
      </c>
      <c r="F33" s="254">
        <f>VLOOKUP(C33,'Valor Materiales'!B:E,4,0)</f>
        <v>902</v>
      </c>
      <c r="G33" s="1200">
        <v>1</v>
      </c>
      <c r="H33" s="1212">
        <f>G33*F33</f>
        <v>902</v>
      </c>
      <c r="I33" s="244">
        <v>0</v>
      </c>
      <c r="J33" s="244">
        <v>0</v>
      </c>
      <c r="K33" s="245">
        <v>0</v>
      </c>
    </row>
    <row r="34" spans="3:21" x14ac:dyDescent="0.2">
      <c r="C34" s="1204" t="s">
        <v>1347</v>
      </c>
      <c r="D34" s="1210" t="str">
        <f>VLOOKUP(C34,'Valor Materiales'!B:E,2,0)</f>
        <v>Compresor 1 Martillo</v>
      </c>
      <c r="E34" s="1211" t="str">
        <f>VLOOKUP(C34,'Valor Materiales'!B:E,3,0)</f>
        <v>Hora</v>
      </c>
      <c r="F34" s="254">
        <f>VLOOKUP(C34,'Valor Materiales'!B:E,4,0)</f>
        <v>40600</v>
      </c>
      <c r="G34" s="252">
        <v>0.8</v>
      </c>
      <c r="H34" s="253">
        <f>G34*F34</f>
        <v>32480</v>
      </c>
      <c r="I34" s="254">
        <v>0</v>
      </c>
      <c r="J34" s="254">
        <v>0</v>
      </c>
      <c r="K34" s="1205">
        <v>0</v>
      </c>
    </row>
    <row r="35" spans="3:21" x14ac:dyDescent="0.2">
      <c r="C35" s="1204" t="s">
        <v>1529</v>
      </c>
      <c r="D35" s="1210" t="str">
        <f>VLOOKUP(C35,'Valor Materiales'!B:E,2,0)</f>
        <v>Materiales Varios</v>
      </c>
      <c r="E35" s="1211" t="str">
        <f>VLOOKUP(C35,'Valor Materiales'!B:E,3,0)</f>
        <v>Gr</v>
      </c>
      <c r="F35" s="254">
        <f>VLOOKUP(C35,'Valor Materiales'!B:E,4,0)</f>
        <v>1600</v>
      </c>
      <c r="G35" s="252">
        <v>0.64400000000000002</v>
      </c>
      <c r="H35" s="253">
        <v>0</v>
      </c>
      <c r="I35" s="254">
        <f>G35*F35</f>
        <v>1030.4000000000001</v>
      </c>
      <c r="J35" s="254">
        <v>0</v>
      </c>
      <c r="K35" s="1205">
        <v>0</v>
      </c>
    </row>
    <row r="36" spans="3:21" ht="13.5" thickBot="1" x14ac:dyDescent="0.25">
      <c r="C36" s="1208" t="s">
        <v>1597</v>
      </c>
      <c r="D36" s="1213" t="str">
        <f>VLOOKUP(C36,'Valor Materiales'!B:E,2,0)</f>
        <v>Cuadrilla tipo I (1of + 1ay)</v>
      </c>
      <c r="E36" s="1214" t="str">
        <f>VLOOKUP(C36,'Valor Materiales'!B:E,3,0)</f>
        <v>Hr</v>
      </c>
      <c r="F36" s="261">
        <f>VLOOKUP(C36,'Valor Materiales'!B:E,4,0)</f>
        <v>17443.453125</v>
      </c>
      <c r="G36" s="147">
        <v>0.88</v>
      </c>
      <c r="H36" s="263">
        <v>0</v>
      </c>
      <c r="I36" s="261">
        <v>0</v>
      </c>
      <c r="J36" s="261">
        <f>G36*F36</f>
        <v>15350.23875</v>
      </c>
      <c r="K36" s="264">
        <v>0</v>
      </c>
    </row>
    <row r="37" spans="3:21" ht="13.5" thickBot="1" x14ac:dyDescent="0.25">
      <c r="F37" s="266"/>
      <c r="H37" s="267">
        <f>SUM(H33:H36)</f>
        <v>33382</v>
      </c>
      <c r="I37" s="267">
        <f t="shared" ref="I37:K37" si="2">SUM(I33:I36)</f>
        <v>1030.4000000000001</v>
      </c>
      <c r="J37" s="267">
        <f t="shared" si="2"/>
        <v>15350.23875</v>
      </c>
      <c r="K37" s="267">
        <f t="shared" si="2"/>
        <v>0</v>
      </c>
    </row>
    <row r="38" spans="3:21" ht="13.5" thickBot="1" x14ac:dyDescent="0.25"/>
    <row r="39" spans="3:21" s="436" customFormat="1" ht="15.75" thickBot="1" x14ac:dyDescent="0.3">
      <c r="C39" s="1215" t="s">
        <v>1518</v>
      </c>
      <c r="D39" s="1216" t="s">
        <v>1519</v>
      </c>
      <c r="E39" s="1215" t="s">
        <v>931</v>
      </c>
      <c r="F39" s="737" t="s">
        <v>1532</v>
      </c>
      <c r="G39" s="753"/>
      <c r="H39" s="1217" t="s">
        <v>1523</v>
      </c>
      <c r="I39" s="1218" t="s">
        <v>1524</v>
      </c>
      <c r="J39" s="1219" t="s">
        <v>1525</v>
      </c>
      <c r="K39" s="1220" t="s">
        <v>1526</v>
      </c>
      <c r="L39" s="743"/>
      <c r="O39" s="753"/>
      <c r="P39" s="753"/>
      <c r="Q39" s="753"/>
      <c r="R39" s="753"/>
      <c r="S39" s="753"/>
      <c r="T39" s="743"/>
      <c r="U39" s="743"/>
    </row>
    <row r="40" spans="3:21" s="436" customFormat="1" ht="26.25" thickBot="1" x14ac:dyDescent="0.3">
      <c r="C40" s="1193" t="s">
        <v>2392</v>
      </c>
      <c r="D40" s="1221" t="s">
        <v>2855</v>
      </c>
      <c r="E40" s="1222" t="s">
        <v>2854</v>
      </c>
      <c r="F40" s="738">
        <f>SUM(H46:K46,0)</f>
        <v>45416.75437457813</v>
      </c>
      <c r="G40" s="753"/>
      <c r="H40" s="1223">
        <f>H46</f>
        <v>982.42683000000011</v>
      </c>
      <c r="I40" s="1224">
        <f>I46</f>
        <v>40634.567820000004</v>
      </c>
      <c r="J40" s="1224">
        <f>J46</f>
        <v>3799.7597245781258</v>
      </c>
      <c r="K40" s="1225">
        <f>K46</f>
        <v>0</v>
      </c>
      <c r="L40" s="743"/>
      <c r="O40" s="753"/>
      <c r="P40" s="753"/>
      <c r="Q40" s="753"/>
      <c r="R40" s="753"/>
      <c r="S40" s="753"/>
      <c r="T40" s="743"/>
      <c r="U40" s="743"/>
    </row>
    <row r="41" spans="3:21" s="436" customFormat="1" ht="15.75" thickBot="1" x14ac:dyDescent="0.3">
      <c r="C41" s="449" t="s">
        <v>1521</v>
      </c>
      <c r="D41" s="450" t="s">
        <v>930</v>
      </c>
      <c r="E41" s="451" t="s">
        <v>931</v>
      </c>
      <c r="F41" s="452" t="s">
        <v>1522</v>
      </c>
      <c r="G41" s="453" t="s">
        <v>932</v>
      </c>
      <c r="H41" s="454" t="s">
        <v>1523</v>
      </c>
      <c r="I41" s="452" t="s">
        <v>1524</v>
      </c>
      <c r="J41" s="455" t="s">
        <v>1525</v>
      </c>
      <c r="K41" s="456" t="s">
        <v>1526</v>
      </c>
      <c r="L41" s="743"/>
      <c r="P41" s="753"/>
      <c r="Q41" s="753"/>
      <c r="R41" s="753"/>
      <c r="S41" s="753"/>
      <c r="T41" s="743"/>
      <c r="U41" s="743"/>
    </row>
    <row r="42" spans="3:21" s="436" customFormat="1" ht="15" x14ac:dyDescent="0.25">
      <c r="C42" s="440" t="s">
        <v>1619</v>
      </c>
      <c r="D42" s="441" t="str">
        <f>VLOOKUP(C42,'Valor Materiales'!B:E,2,0)</f>
        <v>Herramienta Menor General</v>
      </c>
      <c r="E42" s="442" t="str">
        <f>VLOOKUP(C42,'Valor Materiales'!B:E,3,0)</f>
        <v>Un</v>
      </c>
      <c r="F42" s="443">
        <f>VLOOKUP(C42,'Valor Materiales'!B:E,4,0)</f>
        <v>902</v>
      </c>
      <c r="G42" s="441">
        <v>1</v>
      </c>
      <c r="H42" s="1226">
        <f>+ROUND(F42*G42,0)</f>
        <v>902</v>
      </c>
      <c r="I42" s="1227">
        <v>0</v>
      </c>
      <c r="J42" s="1227">
        <v>0</v>
      </c>
      <c r="K42" s="1228">
        <v>0</v>
      </c>
      <c r="L42" s="743"/>
    </row>
    <row r="43" spans="3:21" s="436" customFormat="1" ht="15" x14ac:dyDescent="0.25">
      <c r="C43" s="469" t="s">
        <v>1347</v>
      </c>
      <c r="D43" s="446" t="str">
        <f>VLOOKUP(C43,'Valor Materiales'!B:E,2,0)</f>
        <v>Compresor 1 Martillo</v>
      </c>
      <c r="E43" s="1229" t="str">
        <f>VLOOKUP(C43,'Valor Materiales'!B:E,3,0)</f>
        <v>Hora</v>
      </c>
      <c r="F43" s="447">
        <f>VLOOKUP(C43,'Valor Materiales'!B:E,4,0)</f>
        <v>40600</v>
      </c>
      <c r="G43" s="446">
        <v>0.91</v>
      </c>
      <c r="H43" s="739">
        <v>0</v>
      </c>
      <c r="I43" s="447">
        <f>+ROUND(F43*G43,0)</f>
        <v>36946</v>
      </c>
      <c r="J43" s="447">
        <v>0</v>
      </c>
      <c r="K43" s="740">
        <v>0</v>
      </c>
      <c r="L43" s="743"/>
    </row>
    <row r="44" spans="3:21" s="436" customFormat="1" x14ac:dyDescent="0.2">
      <c r="C44" s="469" t="s">
        <v>1529</v>
      </c>
      <c r="D44" s="446" t="str">
        <f>VLOOKUP(C44,'Valor Materiales'!B:E,2,0)</f>
        <v>Materiales Varios</v>
      </c>
      <c r="E44" s="1229" t="str">
        <f>VLOOKUP(C44,'Valor Materiales'!B:E,3,0)</f>
        <v>Gr</v>
      </c>
      <c r="F44" s="447">
        <f>VLOOKUP(C44,'Valor Materiales'!B:E,4,0)</f>
        <v>1600</v>
      </c>
      <c r="G44" s="446">
        <v>0.22600000000000001</v>
      </c>
      <c r="H44" s="739">
        <v>0</v>
      </c>
      <c r="I44" s="447">
        <f>+ROUND(F44*G44,0)</f>
        <v>362</v>
      </c>
      <c r="J44" s="447">
        <v>0</v>
      </c>
      <c r="K44" s="740">
        <v>0</v>
      </c>
    </row>
    <row r="45" spans="3:21" s="436" customFormat="1" ht="13.5" thickBot="1" x14ac:dyDescent="0.25">
      <c r="C45" s="471" t="s">
        <v>1597</v>
      </c>
      <c r="D45" s="439" t="str">
        <f>VLOOKUP(C45,'Valor Materiales'!B:E,2,0)</f>
        <v>Cuadrilla tipo I (1of + 1ay)</v>
      </c>
      <c r="E45" s="1230" t="str">
        <f>VLOOKUP(C45,'Valor Materiales'!B:E,3,0)</f>
        <v>Hr</v>
      </c>
      <c r="F45" s="472">
        <f>VLOOKUP(C45,'Valor Materiales'!B:E,4,0)</f>
        <v>17443.453125</v>
      </c>
      <c r="G45" s="439">
        <v>0.2</v>
      </c>
      <c r="H45" s="739">
        <v>0</v>
      </c>
      <c r="I45" s="447">
        <v>0</v>
      </c>
      <c r="J45" s="447">
        <f>+G45*F45</f>
        <v>3488.6906250000002</v>
      </c>
      <c r="K45" s="740">
        <v>0</v>
      </c>
    </row>
    <row r="46" spans="3:21" s="436" customFormat="1" ht="13.5" thickBot="1" x14ac:dyDescent="0.25">
      <c r="C46" s="1231"/>
      <c r="E46" s="1231"/>
      <c r="F46" s="733"/>
      <c r="G46" s="734"/>
      <c r="H46" s="741">
        <f>SUM(H42:H45)*1.0373*1.05</f>
        <v>982.42683000000011</v>
      </c>
      <c r="I46" s="472">
        <f>SUM(I42:I45)*1.0373*1.05</f>
        <v>40634.567820000004</v>
      </c>
      <c r="J46" s="472">
        <f>SUM(J42:J45)*1.0373*1.05</f>
        <v>3799.7597245781258</v>
      </c>
      <c r="K46" s="742">
        <f>SUM(K42:K45)*1.0373*1.05</f>
        <v>0</v>
      </c>
    </row>
    <row r="47" spans="3:21" s="436" customFormat="1" ht="13.5" thickBot="1" x14ac:dyDescent="0.25">
      <c r="C47" s="1231"/>
      <c r="E47" s="1231"/>
      <c r="F47" s="733"/>
      <c r="G47" s="734"/>
      <c r="H47" s="736"/>
      <c r="I47" s="736"/>
      <c r="J47" s="736"/>
      <c r="K47" s="736"/>
    </row>
    <row r="48" spans="3:21" s="436" customFormat="1" ht="15.75" thickBot="1" x14ac:dyDescent="0.3">
      <c r="C48" s="1215" t="s">
        <v>1518</v>
      </c>
      <c r="D48" s="1216" t="s">
        <v>1519</v>
      </c>
      <c r="E48" s="1215" t="s">
        <v>931</v>
      </c>
      <c r="F48" s="737" t="s">
        <v>1532</v>
      </c>
      <c r="G48" s="753"/>
      <c r="H48" s="1217" t="s">
        <v>1523</v>
      </c>
      <c r="I48" s="1218" t="s">
        <v>1524</v>
      </c>
      <c r="J48" s="1219" t="s">
        <v>1525</v>
      </c>
      <c r="K48" s="1220" t="s">
        <v>1526</v>
      </c>
    </row>
    <row r="49" spans="2:11" s="436" customFormat="1" ht="26.25" thickBot="1" x14ac:dyDescent="0.3">
      <c r="C49" s="1193" t="s">
        <v>2856</v>
      </c>
      <c r="D49" s="1221" t="s">
        <v>2857</v>
      </c>
      <c r="E49" s="1222" t="s">
        <v>2411</v>
      </c>
      <c r="F49" s="738">
        <f>SUM(H55:K55,0)</f>
        <v>58335.937438143752</v>
      </c>
      <c r="G49" s="753"/>
      <c r="H49" s="1223">
        <f>H55</f>
        <v>982.42683000000011</v>
      </c>
      <c r="I49" s="1224">
        <f>I55</f>
        <v>40634.567820000004</v>
      </c>
      <c r="J49" s="1224">
        <f>J55</f>
        <v>16718.942788143751</v>
      </c>
      <c r="K49" s="1225">
        <f>K55</f>
        <v>0</v>
      </c>
    </row>
    <row r="50" spans="2:11" s="436" customFormat="1" ht="13.5" thickBot="1" x14ac:dyDescent="0.25">
      <c r="C50" s="449" t="s">
        <v>1521</v>
      </c>
      <c r="D50" s="450" t="s">
        <v>930</v>
      </c>
      <c r="E50" s="451" t="s">
        <v>931</v>
      </c>
      <c r="F50" s="452" t="s">
        <v>1522</v>
      </c>
      <c r="G50" s="453" t="s">
        <v>932</v>
      </c>
      <c r="H50" s="454" t="s">
        <v>1523</v>
      </c>
      <c r="I50" s="452" t="s">
        <v>1524</v>
      </c>
      <c r="J50" s="455" t="s">
        <v>1525</v>
      </c>
      <c r="K50" s="456" t="s">
        <v>1526</v>
      </c>
    </row>
    <row r="51" spans="2:11" s="436" customFormat="1" x14ac:dyDescent="0.2">
      <c r="C51" s="440" t="s">
        <v>1619</v>
      </c>
      <c r="D51" s="441" t="str">
        <f>VLOOKUP(C51,'Valor Materiales'!B:E,2,0)</f>
        <v>Herramienta Menor General</v>
      </c>
      <c r="E51" s="442" t="str">
        <f>VLOOKUP(C51,'Valor Materiales'!B:E,3,0)</f>
        <v>Un</v>
      </c>
      <c r="F51" s="443">
        <f>VLOOKUP(C51,'Valor Materiales'!B:E,4,0)</f>
        <v>902</v>
      </c>
      <c r="G51" s="441">
        <v>1</v>
      </c>
      <c r="H51" s="1226">
        <f>+ROUND(F51*G51,0)</f>
        <v>902</v>
      </c>
      <c r="I51" s="1227">
        <v>0</v>
      </c>
      <c r="J51" s="1227">
        <v>0</v>
      </c>
      <c r="K51" s="1228">
        <v>0</v>
      </c>
    </row>
    <row r="52" spans="2:11" s="436" customFormat="1" x14ac:dyDescent="0.2">
      <c r="C52" s="469" t="s">
        <v>1347</v>
      </c>
      <c r="D52" s="446" t="str">
        <f>VLOOKUP(C52,'Valor Materiales'!B:E,2,0)</f>
        <v>Compresor 1 Martillo</v>
      </c>
      <c r="E52" s="1229" t="str">
        <f>VLOOKUP(C52,'Valor Materiales'!B:E,3,0)</f>
        <v>Hora</v>
      </c>
      <c r="F52" s="447">
        <f>VLOOKUP(C52,'Valor Materiales'!B:E,4,0)</f>
        <v>40600</v>
      </c>
      <c r="G52" s="446">
        <v>0.91</v>
      </c>
      <c r="H52" s="739">
        <v>0</v>
      </c>
      <c r="I52" s="447">
        <f>+ROUND(F52*G52,0)</f>
        <v>36946</v>
      </c>
      <c r="J52" s="447">
        <v>0</v>
      </c>
      <c r="K52" s="740">
        <v>0</v>
      </c>
    </row>
    <row r="53" spans="2:11" s="436" customFormat="1" x14ac:dyDescent="0.2">
      <c r="C53" s="469" t="s">
        <v>1529</v>
      </c>
      <c r="D53" s="446" t="str">
        <f>VLOOKUP(C53,'Valor Materiales'!B:E,2,0)</f>
        <v>Materiales Varios</v>
      </c>
      <c r="E53" s="1229" t="str">
        <f>VLOOKUP(C53,'Valor Materiales'!B:E,3,0)</f>
        <v>Gr</v>
      </c>
      <c r="F53" s="447">
        <f>VLOOKUP(C53,'Valor Materiales'!B:E,4,0)</f>
        <v>1600</v>
      </c>
      <c r="G53" s="446">
        <v>0.22600000000000001</v>
      </c>
      <c r="H53" s="739">
        <v>0</v>
      </c>
      <c r="I53" s="447">
        <f>+ROUND(F53*G53,0)</f>
        <v>362</v>
      </c>
      <c r="J53" s="447">
        <v>0</v>
      </c>
      <c r="K53" s="740">
        <v>0</v>
      </c>
    </row>
    <row r="54" spans="2:11" s="436" customFormat="1" ht="13.5" thickBot="1" x14ac:dyDescent="0.25">
      <c r="C54" s="471" t="s">
        <v>1597</v>
      </c>
      <c r="D54" s="439" t="str">
        <f>VLOOKUP(C54,'Valor Materiales'!B:E,2,0)</f>
        <v>Cuadrilla tipo I (1of + 1ay)</v>
      </c>
      <c r="E54" s="1230" t="str">
        <f>VLOOKUP(C54,'Valor Materiales'!B:E,3,0)</f>
        <v>Hr</v>
      </c>
      <c r="F54" s="472">
        <f>VLOOKUP(C54,'Valor Materiales'!B:E,4,0)</f>
        <v>17443.453125</v>
      </c>
      <c r="G54" s="439">
        <v>0.88</v>
      </c>
      <c r="H54" s="739">
        <v>0</v>
      </c>
      <c r="I54" s="447">
        <v>0</v>
      </c>
      <c r="J54" s="447">
        <f>+G54*F54</f>
        <v>15350.23875</v>
      </c>
      <c r="K54" s="740">
        <v>0</v>
      </c>
    </row>
    <row r="55" spans="2:11" s="436" customFormat="1" ht="13.5" thickBot="1" x14ac:dyDescent="0.25">
      <c r="C55" s="1231"/>
      <c r="E55" s="1231"/>
      <c r="F55" s="733"/>
      <c r="G55" s="734"/>
      <c r="H55" s="741">
        <f>SUM(H51:H54)*1.0373*1.05</f>
        <v>982.42683000000011</v>
      </c>
      <c r="I55" s="472">
        <f>SUM(I51:I54)*1.0373*1.05</f>
        <v>40634.567820000004</v>
      </c>
      <c r="J55" s="472">
        <f>SUM(J51:J54)*1.0373*1.05</f>
        <v>16718.942788143751</v>
      </c>
      <c r="K55" s="742">
        <f>SUM(K51:K54)*1.0373*1.05</f>
        <v>0</v>
      </c>
    </row>
    <row r="56" spans="2:11" s="436" customFormat="1" x14ac:dyDescent="0.2">
      <c r="C56" s="1231"/>
      <c r="E56" s="1231"/>
      <c r="F56" s="733"/>
      <c r="G56" s="734"/>
      <c r="H56" s="736"/>
      <c r="I56" s="736"/>
      <c r="J56" s="736"/>
      <c r="K56" s="736"/>
    </row>
    <row r="57" spans="2:11" s="436" customFormat="1" ht="13.5" thickBot="1" x14ac:dyDescent="0.25">
      <c r="C57" s="1231"/>
      <c r="E57" s="1231"/>
      <c r="F57" s="733"/>
      <c r="G57" s="734"/>
      <c r="H57" s="736"/>
      <c r="I57" s="736"/>
      <c r="J57" s="736"/>
      <c r="K57" s="736"/>
    </row>
    <row r="58" spans="2:11" ht="13.5" thickBot="1" x14ac:dyDescent="0.25">
      <c r="C58" s="1715" t="s">
        <v>874</v>
      </c>
      <c r="D58" s="1716"/>
      <c r="E58" s="1716"/>
      <c r="F58" s="1716"/>
      <c r="G58" s="1716"/>
      <c r="H58" s="1716"/>
      <c r="I58" s="1716"/>
      <c r="J58" s="1716"/>
      <c r="K58" s="1717"/>
    </row>
    <row r="59" spans="2:11" ht="13.5" thickBot="1" x14ac:dyDescent="0.25">
      <c r="F59" s="266"/>
    </row>
    <row r="60" spans="2:11" ht="13.5" thickBot="1" x14ac:dyDescent="0.25">
      <c r="C60" s="296" t="s">
        <v>1518</v>
      </c>
      <c r="D60" s="945" t="s">
        <v>1519</v>
      </c>
      <c r="E60" s="296" t="s">
        <v>931</v>
      </c>
      <c r="F60" s="946" t="s">
        <v>1532</v>
      </c>
      <c r="H60" s="272" t="s">
        <v>1523</v>
      </c>
      <c r="I60" s="273" t="s">
        <v>1524</v>
      </c>
      <c r="J60" s="274" t="s">
        <v>1525</v>
      </c>
      <c r="K60" s="275" t="s">
        <v>1526</v>
      </c>
    </row>
    <row r="61" spans="2:11" ht="26.25" thickBot="1" x14ac:dyDescent="0.25">
      <c r="C61" s="947" t="s">
        <v>804</v>
      </c>
      <c r="D61" s="948" t="s">
        <v>2948</v>
      </c>
      <c r="E61" s="947" t="s">
        <v>938</v>
      </c>
      <c r="F61" s="949">
        <f>SUM(H66:K66,0)</f>
        <v>14890.769375000002</v>
      </c>
      <c r="H61" s="263">
        <f>+H66</f>
        <v>2050</v>
      </c>
      <c r="I61" s="261">
        <f>+I66</f>
        <v>0</v>
      </c>
      <c r="J61" s="261">
        <f>+J66</f>
        <v>12840.769375000002</v>
      </c>
      <c r="K61" s="264">
        <f>+K66</f>
        <v>0</v>
      </c>
    </row>
    <row r="62" spans="2:11" ht="13.5" thickBot="1" x14ac:dyDescent="0.25">
      <c r="C62" s="237" t="s">
        <v>1521</v>
      </c>
      <c r="D62" s="238" t="s">
        <v>930</v>
      </c>
      <c r="E62" s="239" t="s">
        <v>931</v>
      </c>
      <c r="F62" s="240" t="s">
        <v>1522</v>
      </c>
      <c r="G62" s="158" t="s">
        <v>932</v>
      </c>
      <c r="H62" s="241" t="s">
        <v>1523</v>
      </c>
      <c r="I62" s="240" t="s">
        <v>1524</v>
      </c>
      <c r="J62" s="242" t="s">
        <v>1525</v>
      </c>
      <c r="K62" s="243" t="s">
        <v>1526</v>
      </c>
    </row>
    <row r="63" spans="2:11" ht="13.5" thickBot="1" x14ac:dyDescent="0.25">
      <c r="C63" s="1199" t="s">
        <v>1619</v>
      </c>
      <c r="D63" s="1200" t="str">
        <f>VLOOKUP(C63,'Valor Materiales'!B:E,2,0)</f>
        <v>Herramienta Menor General</v>
      </c>
      <c r="E63" s="1201" t="str">
        <f>VLOOKUP(C63,'Valor Materiales'!B:E,3,0)</f>
        <v>Un</v>
      </c>
      <c r="F63" s="244">
        <f>VLOOKUP(C63,'Valor Materiales'!B:E,4,0)</f>
        <v>902</v>
      </c>
      <c r="G63" s="1200">
        <v>1</v>
      </c>
      <c r="H63" s="1212">
        <f>+ROUND(F63*G63,0)</f>
        <v>902</v>
      </c>
      <c r="I63" s="244">
        <v>0</v>
      </c>
      <c r="J63" s="244">
        <v>0</v>
      </c>
      <c r="K63" s="245">
        <v>0</v>
      </c>
    </row>
    <row r="64" spans="2:11" x14ac:dyDescent="0.2">
      <c r="B64" s="160"/>
      <c r="C64" s="1204" t="s">
        <v>1352</v>
      </c>
      <c r="D64" s="252" t="str">
        <f>VLOOKUP(C64,'Valor Materiales'!B:E,2,0)</f>
        <v>Motobomba de 2" a Gasolina</v>
      </c>
      <c r="E64" s="256" t="str">
        <f>VLOOKUP(C64,'Valor Materiales'!B:E,3,0)</f>
        <v>Día</v>
      </c>
      <c r="F64" s="254">
        <f>VLOOKUP(C64,'Valor Materiales'!B:E,4,0)</f>
        <v>34800</v>
      </c>
      <c r="G64" s="252">
        <v>3.3000000000000002E-2</v>
      </c>
      <c r="H64" s="1212">
        <f>+ROUND(F64*G64,0)</f>
        <v>1148</v>
      </c>
      <c r="I64" s="254">
        <v>0</v>
      </c>
      <c r="J64" s="254">
        <v>0</v>
      </c>
      <c r="K64" s="1205">
        <v>0</v>
      </c>
    </row>
    <row r="65" spans="2:11" ht="13.5" thickBot="1" x14ac:dyDescent="0.25">
      <c r="C65" s="1208" t="str">
        <f>+'Valor Materiales'!B13</f>
        <v>1.6</v>
      </c>
      <c r="D65" s="147" t="str">
        <f>VLOOKUP(C65,'Valor Materiales'!B:E,2,0)</f>
        <v>Cuadrilla tipo VI (6ay) - Excavación y transporte interno</v>
      </c>
      <c r="E65" s="260" t="str">
        <f>VLOOKUP(C65,'Valor Materiales'!B:E,3,0)</f>
        <v>Hr</v>
      </c>
      <c r="F65" s="261">
        <f>VLOOKUP(C65,'Valor Materiales'!B:E,4,0)</f>
        <v>37766.96875</v>
      </c>
      <c r="G65" s="147">
        <v>0.34</v>
      </c>
      <c r="H65" s="263">
        <v>0</v>
      </c>
      <c r="I65" s="261">
        <v>0</v>
      </c>
      <c r="J65" s="261">
        <f>+G65*F65</f>
        <v>12840.769375000002</v>
      </c>
      <c r="K65" s="264">
        <v>0</v>
      </c>
    </row>
    <row r="66" spans="2:11" ht="13.5" thickBot="1" x14ac:dyDescent="0.25">
      <c r="F66" s="266"/>
      <c r="H66" s="267">
        <f>SUM(H63:H65)</f>
        <v>2050</v>
      </c>
      <c r="I66" s="267">
        <f t="shared" ref="I66:K66" si="3">SUM(I63:I65)</f>
        <v>0</v>
      </c>
      <c r="J66" s="267">
        <f t="shared" si="3"/>
        <v>12840.769375000002</v>
      </c>
      <c r="K66" s="267">
        <f t="shared" si="3"/>
        <v>0</v>
      </c>
    </row>
    <row r="67" spans="2:11" ht="13.5" thickBot="1" x14ac:dyDescent="0.25">
      <c r="F67" s="266"/>
    </row>
    <row r="68" spans="2:11" ht="13.5" thickBot="1" x14ac:dyDescent="0.25">
      <c r="C68" s="296" t="s">
        <v>1518</v>
      </c>
      <c r="D68" s="945" t="s">
        <v>1519</v>
      </c>
      <c r="E68" s="296" t="s">
        <v>931</v>
      </c>
      <c r="F68" s="946" t="s">
        <v>1532</v>
      </c>
      <c r="H68" s="272" t="s">
        <v>1523</v>
      </c>
      <c r="I68" s="273" t="s">
        <v>1524</v>
      </c>
      <c r="J68" s="274" t="s">
        <v>1525</v>
      </c>
      <c r="K68" s="275" t="s">
        <v>1526</v>
      </c>
    </row>
    <row r="69" spans="2:11" ht="26.25" thickBot="1" x14ac:dyDescent="0.25">
      <c r="C69" s="947" t="s">
        <v>2088</v>
      </c>
      <c r="D69" s="948" t="s">
        <v>2952</v>
      </c>
      <c r="E69" s="947" t="s">
        <v>938</v>
      </c>
      <c r="F69" s="949">
        <f>SUM(H74:K74,0)</f>
        <v>40756.96875</v>
      </c>
      <c r="H69" s="263">
        <f>+H74</f>
        <v>2990</v>
      </c>
      <c r="I69" s="261">
        <f>+I74</f>
        <v>0</v>
      </c>
      <c r="J69" s="261">
        <f>+J74</f>
        <v>37766.96875</v>
      </c>
      <c r="K69" s="264">
        <f>+K74</f>
        <v>0</v>
      </c>
    </row>
    <row r="70" spans="2:11" ht="13.5" thickBot="1" x14ac:dyDescent="0.25">
      <c r="C70" s="278" t="s">
        <v>1521</v>
      </c>
      <c r="D70" s="279" t="s">
        <v>930</v>
      </c>
      <c r="E70" s="280" t="s">
        <v>931</v>
      </c>
      <c r="F70" s="273" t="s">
        <v>1522</v>
      </c>
      <c r="G70" s="281" t="s">
        <v>932</v>
      </c>
      <c r="H70" s="272" t="s">
        <v>1523</v>
      </c>
      <c r="I70" s="273" t="s">
        <v>1524</v>
      </c>
      <c r="J70" s="274" t="s">
        <v>1525</v>
      </c>
      <c r="K70" s="275" t="s">
        <v>1526</v>
      </c>
    </row>
    <row r="71" spans="2:11" x14ac:dyDescent="0.2">
      <c r="B71" s="160"/>
      <c r="C71" s="1199" t="s">
        <v>1619</v>
      </c>
      <c r="D71" s="1232" t="str">
        <f>VLOOKUP(C71,'Valor Materiales'!B:E,2,0)</f>
        <v>Herramienta Menor General</v>
      </c>
      <c r="E71" s="1199" t="str">
        <f>VLOOKUP(C71,'Valor Materiales'!B:E,3,0)</f>
        <v>Un</v>
      </c>
      <c r="F71" s="244">
        <f>VLOOKUP(C71,'Valor Materiales'!B:E,4,0)</f>
        <v>902</v>
      </c>
      <c r="G71" s="1232">
        <v>1</v>
      </c>
      <c r="H71" s="1212">
        <f>+ROUND(F71*G71,0)</f>
        <v>902</v>
      </c>
      <c r="I71" s="244">
        <v>0</v>
      </c>
      <c r="J71" s="244">
        <v>0</v>
      </c>
      <c r="K71" s="245">
        <v>0</v>
      </c>
    </row>
    <row r="72" spans="2:11" x14ac:dyDescent="0.2">
      <c r="C72" s="1204" t="s">
        <v>1352</v>
      </c>
      <c r="D72" s="1233" t="str">
        <f>VLOOKUP(C72,'Valor Materiales'!B:E,2,0)</f>
        <v>Motobomba de 2" a Gasolina</v>
      </c>
      <c r="E72" s="1204" t="str">
        <f>VLOOKUP(C72,'Valor Materiales'!B:E,3,0)</f>
        <v>Día</v>
      </c>
      <c r="F72" s="254">
        <f>VLOOKUP(C72,'Valor Materiales'!B:E,4,0)</f>
        <v>34800</v>
      </c>
      <c r="G72" s="1233">
        <v>0.06</v>
      </c>
      <c r="H72" s="253">
        <f>+G72*F72</f>
        <v>2088</v>
      </c>
      <c r="I72" s="254">
        <v>0</v>
      </c>
      <c r="J72" s="254">
        <v>0</v>
      </c>
      <c r="K72" s="1205">
        <v>0</v>
      </c>
    </row>
    <row r="73" spans="2:11" ht="13.5" thickBot="1" x14ac:dyDescent="0.25">
      <c r="C73" s="1208" t="s">
        <v>1602</v>
      </c>
      <c r="D73" s="262" t="str">
        <f>VLOOKUP(C73,'Valor Materiales'!B:E,2,0)</f>
        <v>Cuadrilla tipo VI (6ay) - Excavación y transporte interno</v>
      </c>
      <c r="E73" s="1208" t="str">
        <f>VLOOKUP(C73,'Valor Materiales'!B:E,3,0)</f>
        <v>Hr</v>
      </c>
      <c r="F73" s="261">
        <f>VLOOKUP(C73,'Valor Materiales'!B:E,4,0)</f>
        <v>37766.96875</v>
      </c>
      <c r="G73" s="262">
        <v>1</v>
      </c>
      <c r="H73" s="263">
        <v>0</v>
      </c>
      <c r="I73" s="261">
        <v>0</v>
      </c>
      <c r="J73" s="261">
        <f>+G73*F73</f>
        <v>37766.96875</v>
      </c>
      <c r="K73" s="264">
        <v>0</v>
      </c>
    </row>
    <row r="74" spans="2:11" ht="13.5" thickBot="1" x14ac:dyDescent="0.25">
      <c r="F74" s="266"/>
      <c r="H74" s="267">
        <f>SUM(H71:H73)</f>
        <v>2990</v>
      </c>
      <c r="I74" s="267">
        <f t="shared" ref="I74:K74" si="4">SUM(I71:I73)</f>
        <v>0</v>
      </c>
      <c r="J74" s="267">
        <f t="shared" si="4"/>
        <v>37766.96875</v>
      </c>
      <c r="K74" s="267">
        <f t="shared" si="4"/>
        <v>0</v>
      </c>
    </row>
    <row r="75" spans="2:11" ht="13.5" thickBot="1" x14ac:dyDescent="0.25">
      <c r="F75" s="266"/>
    </row>
    <row r="76" spans="2:11" ht="13.5" thickBot="1" x14ac:dyDescent="0.25">
      <c r="C76" s="296" t="s">
        <v>1518</v>
      </c>
      <c r="D76" s="1441" t="s">
        <v>1519</v>
      </c>
      <c r="E76" s="296" t="s">
        <v>931</v>
      </c>
      <c r="F76" s="946" t="s">
        <v>1532</v>
      </c>
      <c r="H76" s="272" t="s">
        <v>1523</v>
      </c>
      <c r="I76" s="273" t="s">
        <v>1524</v>
      </c>
      <c r="J76" s="274" t="s">
        <v>1525</v>
      </c>
      <c r="K76" s="275" t="s">
        <v>1526</v>
      </c>
    </row>
    <row r="77" spans="2:11" ht="26.25" thickBot="1" x14ac:dyDescent="0.25">
      <c r="C77" s="947" t="s">
        <v>2949</v>
      </c>
      <c r="D77" s="948" t="s">
        <v>2951</v>
      </c>
      <c r="E77" s="947" t="s">
        <v>938</v>
      </c>
      <c r="F77" s="1257">
        <f>SUM(H77:K77)</f>
        <v>7053</v>
      </c>
      <c r="H77" s="263">
        <f>SUM(H79:H82)</f>
        <v>3222</v>
      </c>
      <c r="I77" s="261">
        <f>SUM(I79:I82)</f>
        <v>0</v>
      </c>
      <c r="J77" s="261">
        <f>SUM(J79:J82)</f>
        <v>3831</v>
      </c>
      <c r="K77" s="264">
        <f>SUM(K79:K82)</f>
        <v>0</v>
      </c>
    </row>
    <row r="78" spans="2:11" ht="13.5" thickBot="1" x14ac:dyDescent="0.25">
      <c r="C78" s="278" t="s">
        <v>1521</v>
      </c>
      <c r="D78" s="279" t="s">
        <v>930</v>
      </c>
      <c r="E78" s="280" t="s">
        <v>931</v>
      </c>
      <c r="F78" s="273" t="s">
        <v>1522</v>
      </c>
      <c r="G78" s="281" t="s">
        <v>932</v>
      </c>
      <c r="H78" s="272" t="s">
        <v>1523</v>
      </c>
      <c r="I78" s="273" t="s">
        <v>1524</v>
      </c>
      <c r="J78" s="274" t="s">
        <v>1525</v>
      </c>
      <c r="K78" s="275" t="s">
        <v>1526</v>
      </c>
    </row>
    <row r="79" spans="2:11" x14ac:dyDescent="0.2">
      <c r="B79" s="160"/>
      <c r="C79" s="1199" t="s">
        <v>1619</v>
      </c>
      <c r="D79" s="1200" t="s">
        <v>1528</v>
      </c>
      <c r="E79" s="1199" t="s">
        <v>905</v>
      </c>
      <c r="F79" s="244">
        <v>902</v>
      </c>
      <c r="G79" s="1200">
        <v>1</v>
      </c>
      <c r="H79" s="1212">
        <f>+ROUND(F79*G79,0)</f>
        <v>902</v>
      </c>
      <c r="I79" s="244">
        <v>0</v>
      </c>
      <c r="J79" s="244">
        <v>0</v>
      </c>
      <c r="K79" s="245">
        <v>0</v>
      </c>
    </row>
    <row r="80" spans="2:11" x14ac:dyDescent="0.2">
      <c r="C80" s="1204">
        <v>11.18</v>
      </c>
      <c r="D80" s="252" t="s">
        <v>2950</v>
      </c>
      <c r="E80" s="1204" t="s">
        <v>2073</v>
      </c>
      <c r="F80" s="254">
        <v>90000</v>
      </c>
      <c r="G80" s="252">
        <v>2.5000000000000001E-2</v>
      </c>
      <c r="H80" s="253">
        <f>ROUND(+G80*F80,0)</f>
        <v>2250</v>
      </c>
      <c r="I80" s="254">
        <v>0</v>
      </c>
      <c r="J80" s="254">
        <v>0</v>
      </c>
      <c r="K80" s="1205">
        <v>0</v>
      </c>
    </row>
    <row r="81" spans="2:16" x14ac:dyDescent="0.2">
      <c r="C81" s="1204" t="s">
        <v>1352</v>
      </c>
      <c r="D81" s="252" t="s">
        <v>1676</v>
      </c>
      <c r="E81" s="1204" t="s">
        <v>914</v>
      </c>
      <c r="F81" s="254">
        <v>34800</v>
      </c>
      <c r="G81" s="252">
        <v>2E-3</v>
      </c>
      <c r="H81" s="253">
        <f>ROUND(+G81*F81,0)</f>
        <v>70</v>
      </c>
      <c r="I81" s="254">
        <v>0</v>
      </c>
      <c r="J81" s="254">
        <v>0</v>
      </c>
      <c r="K81" s="1205">
        <v>0</v>
      </c>
    </row>
    <row r="82" spans="2:16" ht="13.5" thickBot="1" x14ac:dyDescent="0.25">
      <c r="C82" s="1208" t="s">
        <v>1602</v>
      </c>
      <c r="D82" s="147" t="s">
        <v>1588</v>
      </c>
      <c r="E82" s="1208" t="s">
        <v>1583</v>
      </c>
      <c r="F82" s="261">
        <v>38305.378124999996</v>
      </c>
      <c r="G82" s="147">
        <v>0.1</v>
      </c>
      <c r="H82" s="263">
        <v>0</v>
      </c>
      <c r="I82" s="258">
        <v>0</v>
      </c>
      <c r="J82" s="261">
        <f>ROUND(+G82*F82,0)</f>
        <v>3831</v>
      </c>
      <c r="K82" s="259">
        <v>0</v>
      </c>
    </row>
    <row r="83" spans="2:16" ht="13.5" thickBot="1" x14ac:dyDescent="0.25">
      <c r="F83" s="266"/>
      <c r="H83" s="1236">
        <f>SUM(H79:H82)</f>
        <v>3222</v>
      </c>
      <c r="I83" s="1055">
        <v>0</v>
      </c>
      <c r="J83" s="1055">
        <f>SUM(J79:J82)</f>
        <v>3831</v>
      </c>
      <c r="K83" s="1057">
        <v>0</v>
      </c>
    </row>
    <row r="84" spans="2:16" ht="13.5" thickBot="1" x14ac:dyDescent="0.25">
      <c r="F84" s="266"/>
      <c r="H84" s="1209"/>
      <c r="I84" s="1209"/>
      <c r="J84" s="1209"/>
      <c r="K84" s="1209"/>
    </row>
    <row r="85" spans="2:16" ht="13.5" thickBot="1" x14ac:dyDescent="0.25">
      <c r="C85" s="1715" t="s">
        <v>2725</v>
      </c>
      <c r="D85" s="1716"/>
      <c r="E85" s="1716"/>
      <c r="F85" s="1716"/>
      <c r="G85" s="1716"/>
      <c r="H85" s="1716"/>
      <c r="I85" s="1716"/>
      <c r="J85" s="1716"/>
      <c r="K85" s="1717"/>
    </row>
    <row r="86" spans="2:16" ht="13.5" thickBot="1" x14ac:dyDescent="0.25">
      <c r="F86" s="266"/>
    </row>
    <row r="87" spans="2:16" ht="13.5" thickBot="1" x14ac:dyDescent="0.25">
      <c r="C87" s="296" t="s">
        <v>1518</v>
      </c>
      <c r="D87" s="945" t="s">
        <v>1519</v>
      </c>
      <c r="E87" s="296" t="s">
        <v>931</v>
      </c>
      <c r="F87" s="946" t="s">
        <v>1532</v>
      </c>
      <c r="H87" s="272" t="s">
        <v>1523</v>
      </c>
      <c r="I87" s="273" t="s">
        <v>1524</v>
      </c>
      <c r="J87" s="274" t="s">
        <v>1525</v>
      </c>
      <c r="K87" s="275" t="s">
        <v>1526</v>
      </c>
    </row>
    <row r="88" spans="2:16" ht="26.25" thickBot="1" x14ac:dyDescent="0.25">
      <c r="C88" s="947" t="s">
        <v>2092</v>
      </c>
      <c r="D88" s="948" t="s">
        <v>2773</v>
      </c>
      <c r="E88" s="947" t="s">
        <v>938</v>
      </c>
      <c r="F88" s="949">
        <f>SUM(H94:K94,0)</f>
        <v>25077.92625</v>
      </c>
      <c r="H88" s="263">
        <f>+H94</f>
        <v>18907</v>
      </c>
      <c r="I88" s="261">
        <f>+I94</f>
        <v>0</v>
      </c>
      <c r="J88" s="261">
        <f>+J94</f>
        <v>5450.9262500000004</v>
      </c>
      <c r="K88" s="264">
        <f>+K94</f>
        <v>720</v>
      </c>
    </row>
    <row r="89" spans="2:16" ht="13.5" thickBot="1" x14ac:dyDescent="0.25">
      <c r="B89" s="160"/>
      <c r="C89" s="305" t="s">
        <v>1521</v>
      </c>
      <c r="D89" s="306" t="s">
        <v>930</v>
      </c>
      <c r="E89" s="305" t="s">
        <v>931</v>
      </c>
      <c r="F89" s="307" t="s">
        <v>1522</v>
      </c>
      <c r="G89" s="281" t="s">
        <v>932</v>
      </c>
      <c r="H89" s="272" t="s">
        <v>1523</v>
      </c>
      <c r="I89" s="273" t="s">
        <v>1524</v>
      </c>
      <c r="J89" s="274" t="s">
        <v>1525</v>
      </c>
      <c r="K89" s="275" t="s">
        <v>1526</v>
      </c>
    </row>
    <row r="90" spans="2:16" x14ac:dyDescent="0.2">
      <c r="C90" s="1199" t="s">
        <v>1619</v>
      </c>
      <c r="D90" s="1200" t="str">
        <f>VLOOKUP(C90,'Valor Materiales'!B:E,2,0)</f>
        <v>Herramienta Menor General</v>
      </c>
      <c r="E90" s="1201" t="str">
        <f>VLOOKUP(C90,'Valor Materiales'!B:E,3,0)</f>
        <v>Un</v>
      </c>
      <c r="F90" s="244">
        <f>VLOOKUP(C90,'Valor Materiales'!B:E,4,0)</f>
        <v>902</v>
      </c>
      <c r="G90" s="1234">
        <v>4.5</v>
      </c>
      <c r="H90" s="244">
        <f>+ROUND(F90*G90,0)</f>
        <v>4059</v>
      </c>
      <c r="I90" s="244">
        <v>0</v>
      </c>
      <c r="J90" s="244">
        <v>0</v>
      </c>
      <c r="K90" s="245">
        <v>0</v>
      </c>
    </row>
    <row r="91" spans="2:16" x14ac:dyDescent="0.2">
      <c r="C91" s="1204" t="s">
        <v>1358</v>
      </c>
      <c r="D91" s="252" t="str">
        <f>VLOOKUP(C91,'Valor Materiales'!B:E,2,0)</f>
        <v>Volqueta hasta 12 .0 Toneladas</v>
      </c>
      <c r="E91" s="256" t="str">
        <f>VLOOKUP(C91,'Valor Materiales'!B:E,3,0)</f>
        <v>Día</v>
      </c>
      <c r="F91" s="254">
        <f>VLOOKUP(C91,'Valor Materiales'!B:E,4,0)</f>
        <v>371200</v>
      </c>
      <c r="G91" s="1210">
        <v>0.04</v>
      </c>
      <c r="H91" s="254">
        <f>+G91*F91</f>
        <v>14848</v>
      </c>
      <c r="I91" s="254">
        <v>0</v>
      </c>
      <c r="J91" s="254">
        <v>0</v>
      </c>
      <c r="K91" s="1205">
        <v>0</v>
      </c>
    </row>
    <row r="92" spans="2:16" x14ac:dyDescent="0.2">
      <c r="C92" s="1204" t="s">
        <v>799</v>
      </c>
      <c r="D92" s="252" t="str">
        <f>VLOOKUP(C92,'Valor Materiales'!B:E,2,0)</f>
        <v>Permiso Utilización Escombrera</v>
      </c>
      <c r="E92" s="256" t="str">
        <f>VLOOKUP(C92,'Valor Materiales'!B:E,3,0)</f>
        <v>M3</v>
      </c>
      <c r="F92" s="254">
        <f>VLOOKUP(C92,'Valor Materiales'!B:E,4,0)</f>
        <v>480</v>
      </c>
      <c r="G92" s="1210">
        <v>1.5</v>
      </c>
      <c r="H92" s="254">
        <v>0</v>
      </c>
      <c r="I92" s="254">
        <v>0</v>
      </c>
      <c r="J92" s="254">
        <v>0</v>
      </c>
      <c r="K92" s="1205">
        <f>+G92*F92</f>
        <v>720</v>
      </c>
    </row>
    <row r="93" spans="2:16" ht="13.5" thickBot="1" x14ac:dyDescent="0.25">
      <c r="C93" s="1208" t="s">
        <v>1600</v>
      </c>
      <c r="D93" s="147" t="str">
        <f>VLOOKUP(C93,'Valor Materiales'!B:E,2,0)</f>
        <v>Cuadrilla tipo IV (4ay) - Cargue/Evacuación escombros</v>
      </c>
      <c r="E93" s="260" t="str">
        <f>VLOOKUP(C93,'Valor Materiales'!B:E,3,0)</f>
        <v>Hr</v>
      </c>
      <c r="F93" s="261">
        <f>VLOOKUP(C93,'Valor Materiales'!B:E,4,0)</f>
        <v>24776.9375</v>
      </c>
      <c r="G93" s="1213">
        <v>0.22</v>
      </c>
      <c r="H93" s="261">
        <v>0</v>
      </c>
      <c r="I93" s="261">
        <v>0</v>
      </c>
      <c r="J93" s="261">
        <f>+G93*F93</f>
        <v>5450.9262500000004</v>
      </c>
      <c r="K93" s="264">
        <v>0</v>
      </c>
    </row>
    <row r="94" spans="2:16" ht="13.5" thickBot="1" x14ac:dyDescent="0.25">
      <c r="F94" s="266"/>
      <c r="H94" s="267">
        <f>SUM(H90:H93)</f>
        <v>18907</v>
      </c>
      <c r="I94" s="267">
        <f t="shared" ref="I94:K94" si="5">SUM(I90:I93)</f>
        <v>0</v>
      </c>
      <c r="J94" s="267">
        <f t="shared" si="5"/>
        <v>5450.9262500000004</v>
      </c>
      <c r="K94" s="267">
        <f t="shared" si="5"/>
        <v>720</v>
      </c>
    </row>
    <row r="95" spans="2:16" ht="13.5" thickBot="1" x14ac:dyDescent="0.25">
      <c r="F95" s="266"/>
      <c r="P95" s="1442"/>
    </row>
    <row r="96" spans="2:16" ht="13.5" thickBot="1" x14ac:dyDescent="0.25">
      <c r="C96" s="296" t="s">
        <v>1518</v>
      </c>
      <c r="D96" s="945" t="s">
        <v>1519</v>
      </c>
      <c r="E96" s="296" t="s">
        <v>931</v>
      </c>
      <c r="F96" s="946" t="s">
        <v>1532</v>
      </c>
      <c r="H96" s="272" t="s">
        <v>1523</v>
      </c>
      <c r="I96" s="273" t="s">
        <v>1524</v>
      </c>
      <c r="J96" s="274" t="s">
        <v>1525</v>
      </c>
      <c r="K96" s="275" t="s">
        <v>1526</v>
      </c>
    </row>
    <row r="97" spans="2:23" ht="26.25" thickBot="1" x14ac:dyDescent="0.25">
      <c r="C97" s="947" t="s">
        <v>2726</v>
      </c>
      <c r="D97" s="948" t="s">
        <v>2936</v>
      </c>
      <c r="E97" s="947" t="s">
        <v>2731</v>
      </c>
      <c r="F97" s="949">
        <f>SUM(H100:K100,0)</f>
        <v>928</v>
      </c>
      <c r="H97" s="263">
        <f>+H100</f>
        <v>928</v>
      </c>
      <c r="I97" s="261">
        <f>+I100</f>
        <v>0</v>
      </c>
      <c r="J97" s="261">
        <f>+J100</f>
        <v>0</v>
      </c>
      <c r="K97" s="264">
        <f>+K100</f>
        <v>0</v>
      </c>
    </row>
    <row r="98" spans="2:23" ht="13.5" thickBot="1" x14ac:dyDescent="0.25">
      <c r="B98" s="160"/>
      <c r="C98" s="305" t="s">
        <v>1521</v>
      </c>
      <c r="D98" s="306" t="s">
        <v>930</v>
      </c>
      <c r="E98" s="305" t="s">
        <v>931</v>
      </c>
      <c r="F98" s="307" t="s">
        <v>1522</v>
      </c>
      <c r="G98" s="281" t="s">
        <v>932</v>
      </c>
      <c r="H98" s="272" t="s">
        <v>1523</v>
      </c>
      <c r="I98" s="273" t="s">
        <v>1524</v>
      </c>
      <c r="J98" s="274" t="s">
        <v>1525</v>
      </c>
      <c r="K98" s="275" t="s">
        <v>1526</v>
      </c>
    </row>
    <row r="99" spans="2:23" ht="13.5" thickBot="1" x14ac:dyDescent="0.25">
      <c r="C99" s="1052" t="s">
        <v>1358</v>
      </c>
      <c r="D99" s="1053" t="str">
        <f>VLOOKUP(C99,'Valor Materiales'!B:E,2,0)</f>
        <v>Volqueta hasta 12 .0 Toneladas</v>
      </c>
      <c r="E99" s="1054" t="str">
        <f>VLOOKUP(C99,'Valor Materiales'!B:E,3,0)</f>
        <v>Día</v>
      </c>
      <c r="F99" s="254">
        <f>VLOOKUP(C99,'Valor Materiales'!B:E,4,0)</f>
        <v>371200</v>
      </c>
      <c r="G99" s="1056">
        <v>2.5000000000000001E-3</v>
      </c>
      <c r="H99" s="1055">
        <f>+G99*F99</f>
        <v>928</v>
      </c>
      <c r="I99" s="1055">
        <v>0</v>
      </c>
      <c r="J99" s="1055">
        <v>0</v>
      </c>
      <c r="K99" s="1057">
        <v>0</v>
      </c>
    </row>
    <row r="100" spans="2:23" ht="13.5" thickBot="1" x14ac:dyDescent="0.25">
      <c r="D100" s="159" t="s">
        <v>2732</v>
      </c>
      <c r="F100" s="266"/>
      <c r="H100" s="267">
        <f>SUM(H99:H99)</f>
        <v>928</v>
      </c>
      <c r="I100" s="267">
        <f>SUM(I99:I99)</f>
        <v>0</v>
      </c>
      <c r="J100" s="267">
        <f>SUM(J99:J99)</f>
        <v>0</v>
      </c>
      <c r="K100" s="267">
        <f>SUM(K99:K99)</f>
        <v>0</v>
      </c>
    </row>
    <row r="101" spans="2:23" x14ac:dyDescent="0.2">
      <c r="F101" s="266"/>
      <c r="H101" s="1209"/>
      <c r="I101" s="1209"/>
      <c r="J101" s="1209"/>
      <c r="K101" s="1209"/>
    </row>
    <row r="102" spans="2:23" ht="13.5" thickBot="1" x14ac:dyDescent="0.25">
      <c r="F102" s="266"/>
      <c r="H102" s="1209"/>
      <c r="I102" s="1209"/>
      <c r="J102" s="1209"/>
      <c r="K102" s="1209"/>
    </row>
    <row r="103" spans="2:23" ht="13.5" thickBot="1" x14ac:dyDescent="0.25">
      <c r="C103" s="1715" t="s">
        <v>2417</v>
      </c>
      <c r="D103" s="1716"/>
      <c r="E103" s="1716"/>
      <c r="F103" s="1716"/>
      <c r="G103" s="1716"/>
      <c r="H103" s="1716"/>
      <c r="I103" s="1716"/>
      <c r="J103" s="1716"/>
      <c r="K103" s="1717"/>
    </row>
    <row r="104" spans="2:23" ht="13.5" thickBot="1" x14ac:dyDescent="0.25">
      <c r="F104" s="266"/>
      <c r="H104" s="1209"/>
      <c r="I104" s="1209"/>
      <c r="J104" s="1209"/>
      <c r="K104" s="1209"/>
    </row>
    <row r="105" spans="2:23" ht="13.5" thickBot="1" x14ac:dyDescent="0.25">
      <c r="C105" s="950" t="s">
        <v>1518</v>
      </c>
      <c r="D105" s="951" t="s">
        <v>1519</v>
      </c>
      <c r="E105" s="950" t="s">
        <v>931</v>
      </c>
      <c r="F105" s="952" t="s">
        <v>1532</v>
      </c>
      <c r="G105" s="953"/>
      <c r="H105" s="954" t="s">
        <v>1523</v>
      </c>
      <c r="I105" s="955" t="s">
        <v>1524</v>
      </c>
      <c r="J105" s="956" t="s">
        <v>1525</v>
      </c>
      <c r="K105" s="957" t="s">
        <v>1526</v>
      </c>
      <c r="O105" s="950" t="s">
        <v>1518</v>
      </c>
      <c r="P105" s="951" t="s">
        <v>1519</v>
      </c>
      <c r="Q105" s="950" t="s">
        <v>931</v>
      </c>
      <c r="R105" s="952" t="s">
        <v>1532</v>
      </c>
      <c r="S105" s="953"/>
      <c r="T105" s="954" t="s">
        <v>1523</v>
      </c>
      <c r="U105" s="955" t="s">
        <v>1524</v>
      </c>
      <c r="V105" s="956" t="s">
        <v>1525</v>
      </c>
      <c r="W105" s="957" t="s">
        <v>1526</v>
      </c>
    </row>
    <row r="106" spans="2:23" ht="15" thickBot="1" x14ac:dyDescent="0.25">
      <c r="C106" s="958" t="s">
        <v>2418</v>
      </c>
      <c r="D106" s="959" t="s">
        <v>2730</v>
      </c>
      <c r="E106" s="958" t="s">
        <v>904</v>
      </c>
      <c r="F106" s="960">
        <f>SUM(H114:K114,0)</f>
        <v>48857.927029030623</v>
      </c>
      <c r="G106" s="953"/>
      <c r="H106" s="961">
        <f>+H114</f>
        <v>4193.8039000000008</v>
      </c>
      <c r="I106" s="962">
        <f>+I114</f>
        <v>25699.397943999997</v>
      </c>
      <c r="J106" s="962">
        <f>+J114</f>
        <v>18964.725185030627</v>
      </c>
      <c r="K106" s="963">
        <f>+K114</f>
        <v>0</v>
      </c>
      <c r="O106" s="958" t="s">
        <v>2418</v>
      </c>
      <c r="P106" s="959" t="s">
        <v>2730</v>
      </c>
      <c r="Q106" s="958" t="s">
        <v>1265</v>
      </c>
      <c r="R106" s="960">
        <f>SUM(T114:W114,0)</f>
        <v>48857.927029030623</v>
      </c>
      <c r="S106" s="953"/>
      <c r="T106" s="961">
        <f>+T114</f>
        <v>4193.8039000000008</v>
      </c>
      <c r="U106" s="962">
        <f>+U114</f>
        <v>25699.397943999997</v>
      </c>
      <c r="V106" s="962">
        <f>+V114</f>
        <v>18964.725185030627</v>
      </c>
      <c r="W106" s="963">
        <f>+W114</f>
        <v>0</v>
      </c>
    </row>
    <row r="107" spans="2:23" ht="15.75" thickBot="1" x14ac:dyDescent="0.3">
      <c r="C107" s="964" t="s">
        <v>1521</v>
      </c>
      <c r="D107" s="965" t="s">
        <v>930</v>
      </c>
      <c r="E107" s="966" t="s">
        <v>931</v>
      </c>
      <c r="F107" s="967" t="s">
        <v>1522</v>
      </c>
      <c r="G107" s="968" t="s">
        <v>932</v>
      </c>
      <c r="H107" s="969" t="s">
        <v>1523</v>
      </c>
      <c r="I107" s="967" t="s">
        <v>1524</v>
      </c>
      <c r="J107" s="970" t="s">
        <v>1525</v>
      </c>
      <c r="K107" s="971" t="s">
        <v>1526</v>
      </c>
      <c r="L107" s="743"/>
      <c r="O107" s="964" t="s">
        <v>1521</v>
      </c>
      <c r="P107" s="965" t="s">
        <v>930</v>
      </c>
      <c r="Q107" s="966" t="s">
        <v>931</v>
      </c>
      <c r="R107" s="967" t="s">
        <v>1522</v>
      </c>
      <c r="S107" s="968" t="s">
        <v>932</v>
      </c>
      <c r="T107" s="969" t="s">
        <v>1523</v>
      </c>
      <c r="U107" s="967" t="s">
        <v>1524</v>
      </c>
      <c r="V107" s="970" t="s">
        <v>1525</v>
      </c>
      <c r="W107" s="971" t="s">
        <v>1526</v>
      </c>
    </row>
    <row r="108" spans="2:23" ht="15.75" thickBot="1" x14ac:dyDescent="0.3">
      <c r="C108" s="972" t="s">
        <v>1619</v>
      </c>
      <c r="D108" s="973" t="s">
        <v>1528</v>
      </c>
      <c r="E108" s="974" t="s">
        <v>905</v>
      </c>
      <c r="F108" s="244">
        <f>VLOOKUP(C108,'Valor Materiales'!B:E,4,0)</f>
        <v>902</v>
      </c>
      <c r="G108" s="973">
        <f>1.5455*2.9</f>
        <v>4.4819500000000003</v>
      </c>
      <c r="H108" s="976">
        <f>+ROUND(F108*G108,0)</f>
        <v>4043</v>
      </c>
      <c r="I108" s="975">
        <v>0</v>
      </c>
      <c r="J108" s="975">
        <v>0</v>
      </c>
      <c r="K108" s="977">
        <v>0</v>
      </c>
      <c r="L108" s="743"/>
      <c r="O108" s="972" t="s">
        <v>1619</v>
      </c>
      <c r="P108" s="973" t="s">
        <v>1528</v>
      </c>
      <c r="Q108" s="974" t="s">
        <v>905</v>
      </c>
      <c r="R108" s="244">
        <f>VLOOKUP(C108,'Valor Materiales'!B:E,4,0)</f>
        <v>902</v>
      </c>
      <c r="S108" s="973">
        <f>1.5455*2.9</f>
        <v>4.4819500000000003</v>
      </c>
      <c r="T108" s="976">
        <f>+ROUND(R108*S108,0)</f>
        <v>4043</v>
      </c>
      <c r="U108" s="975">
        <v>0</v>
      </c>
      <c r="V108" s="975">
        <v>0</v>
      </c>
      <c r="W108" s="977">
        <v>0</v>
      </c>
    </row>
    <row r="109" spans="2:23" ht="15.75" thickBot="1" x14ac:dyDescent="0.3">
      <c r="C109" s="978" t="s">
        <v>1362</v>
      </c>
      <c r="D109" s="979" t="s">
        <v>1689</v>
      </c>
      <c r="E109" s="980" t="s">
        <v>905</v>
      </c>
      <c r="F109" s="254">
        <f>VLOOKUP(C109,'Valor Materiales'!B:E,4,0)</f>
        <v>16820</v>
      </c>
      <c r="G109" s="979">
        <f>0.4*2.9</f>
        <v>1.1599999999999999</v>
      </c>
      <c r="H109" s="982">
        <v>0</v>
      </c>
      <c r="I109" s="981">
        <f>+G109*F109</f>
        <v>19511.199999999997</v>
      </c>
      <c r="J109" s="981">
        <v>0</v>
      </c>
      <c r="K109" s="983">
        <v>0</v>
      </c>
      <c r="L109" s="743"/>
      <c r="O109" s="978" t="s">
        <v>1362</v>
      </c>
      <c r="P109" s="979" t="s">
        <v>1689</v>
      </c>
      <c r="Q109" s="980" t="s">
        <v>905</v>
      </c>
      <c r="R109" s="244">
        <f>VLOOKUP(C109,'Valor Materiales'!B:E,4,0)</f>
        <v>16820</v>
      </c>
      <c r="S109" s="979">
        <f>0.4*2.9</f>
        <v>1.1599999999999999</v>
      </c>
      <c r="T109" s="982">
        <v>0</v>
      </c>
      <c r="U109" s="981">
        <f>+S109*R109</f>
        <v>19511.199999999997</v>
      </c>
      <c r="V109" s="981">
        <v>0</v>
      </c>
      <c r="W109" s="983">
        <v>0</v>
      </c>
    </row>
    <row r="110" spans="2:23" ht="15.75" thickBot="1" x14ac:dyDescent="0.3">
      <c r="C110" s="984" t="s">
        <v>1366</v>
      </c>
      <c r="D110" s="979" t="s">
        <v>1693</v>
      </c>
      <c r="E110" s="980" t="s">
        <v>905</v>
      </c>
      <c r="F110" s="254">
        <f>VLOOKUP(C110,'Valor Materiales'!B:E,4,0)</f>
        <v>2552</v>
      </c>
      <c r="G110" s="985">
        <f>0.4*2.9</f>
        <v>1.1599999999999999</v>
      </c>
      <c r="H110" s="986">
        <v>0</v>
      </c>
      <c r="I110" s="981">
        <f>+G110*F110</f>
        <v>2960.3199999999997</v>
      </c>
      <c r="J110" s="987">
        <v>0</v>
      </c>
      <c r="K110" s="988">
        <v>0</v>
      </c>
      <c r="L110" s="743"/>
      <c r="O110" s="984" t="s">
        <v>1366</v>
      </c>
      <c r="P110" s="979" t="s">
        <v>1693</v>
      </c>
      <c r="Q110" s="980" t="s">
        <v>905</v>
      </c>
      <c r="R110" s="244">
        <f>VLOOKUP(C110,'Valor Materiales'!B:E,4,0)</f>
        <v>2552</v>
      </c>
      <c r="S110" s="985">
        <f>0.4*2.9</f>
        <v>1.1599999999999999</v>
      </c>
      <c r="T110" s="986">
        <v>0</v>
      </c>
      <c r="U110" s="981">
        <f>+S110*R110</f>
        <v>2960.3199999999997</v>
      </c>
      <c r="V110" s="987">
        <v>0</v>
      </c>
      <c r="W110" s="988">
        <v>0</v>
      </c>
    </row>
    <row r="111" spans="2:23" ht="15.75" thickBot="1" x14ac:dyDescent="0.3">
      <c r="C111" s="984" t="s">
        <v>1365</v>
      </c>
      <c r="D111" s="979" t="s">
        <v>1692</v>
      </c>
      <c r="E111" s="980" t="s">
        <v>905</v>
      </c>
      <c r="F111" s="254">
        <f>VLOOKUP(C111,'Valor Materiales'!B:E,4,0)</f>
        <v>1624</v>
      </c>
      <c r="G111" s="985">
        <f>0.4*2.9</f>
        <v>1.1599999999999999</v>
      </c>
      <c r="H111" s="986">
        <v>0</v>
      </c>
      <c r="I111" s="981">
        <f>+G111*F111</f>
        <v>1883.84</v>
      </c>
      <c r="J111" s="987">
        <v>0</v>
      </c>
      <c r="K111" s="988">
        <v>0</v>
      </c>
      <c r="L111" s="743"/>
      <c r="O111" s="984" t="s">
        <v>1365</v>
      </c>
      <c r="P111" s="979" t="s">
        <v>1692</v>
      </c>
      <c r="Q111" s="980" t="s">
        <v>905</v>
      </c>
      <c r="R111" s="244">
        <f>VLOOKUP(C111,'Valor Materiales'!B:E,4,0)</f>
        <v>1624</v>
      </c>
      <c r="S111" s="985">
        <f>0.4*2.9</f>
        <v>1.1599999999999999</v>
      </c>
      <c r="T111" s="986">
        <v>0</v>
      </c>
      <c r="U111" s="981">
        <f>+S111*R111</f>
        <v>1883.84</v>
      </c>
      <c r="V111" s="987">
        <v>0</v>
      </c>
      <c r="W111" s="988">
        <v>0</v>
      </c>
    </row>
    <row r="112" spans="2:23" ht="13.5" thickBot="1" x14ac:dyDescent="0.25">
      <c r="C112" s="984" t="s">
        <v>1373</v>
      </c>
      <c r="D112" s="979" t="s">
        <v>1700</v>
      </c>
      <c r="E112" s="980" t="s">
        <v>1701</v>
      </c>
      <c r="F112" s="254">
        <f>VLOOKUP(C112,'Valor Materiales'!B:E,4,0)</f>
        <v>1600</v>
      </c>
      <c r="G112" s="985">
        <f>0.0905*2.9</f>
        <v>0.26244999999999996</v>
      </c>
      <c r="H112" s="986">
        <v>0</v>
      </c>
      <c r="I112" s="981">
        <f>+G112*F112</f>
        <v>419.91999999999996</v>
      </c>
      <c r="J112" s="987">
        <v>0</v>
      </c>
      <c r="K112" s="988">
        <v>0</v>
      </c>
      <c r="L112" s="436"/>
      <c r="O112" s="984" t="s">
        <v>1373</v>
      </c>
      <c r="P112" s="979" t="s">
        <v>1700</v>
      </c>
      <c r="Q112" s="980" t="s">
        <v>1701</v>
      </c>
      <c r="R112" s="244">
        <f>VLOOKUP(C112,'Valor Materiales'!B:E,4,0)</f>
        <v>1600</v>
      </c>
      <c r="S112" s="985">
        <f>0.0905*2.9</f>
        <v>0.26244999999999996</v>
      </c>
      <c r="T112" s="986">
        <v>0</v>
      </c>
      <c r="U112" s="981">
        <f>+S112*R112</f>
        <v>419.91999999999996</v>
      </c>
      <c r="V112" s="987">
        <v>0</v>
      </c>
      <c r="W112" s="988">
        <v>0</v>
      </c>
    </row>
    <row r="113" spans="3:23" ht="13.5" thickBot="1" x14ac:dyDescent="0.25">
      <c r="C113" s="989" t="s">
        <v>1598</v>
      </c>
      <c r="D113" s="990" t="s">
        <v>1584</v>
      </c>
      <c r="E113" s="991" t="s">
        <v>1583</v>
      </c>
      <c r="F113" s="261">
        <f>VLOOKUP(C113,'Valor Materiales'!B:E,4,0)</f>
        <v>23008.78125</v>
      </c>
      <c r="G113" s="990">
        <f>0.274*2.9</f>
        <v>0.79460000000000008</v>
      </c>
      <c r="H113" s="961">
        <v>0</v>
      </c>
      <c r="I113" s="962">
        <v>0</v>
      </c>
      <c r="J113" s="962">
        <f>+G113*F113</f>
        <v>18282.77758125</v>
      </c>
      <c r="K113" s="963">
        <v>0</v>
      </c>
      <c r="L113" s="436"/>
      <c r="O113" s="989" t="s">
        <v>1598</v>
      </c>
      <c r="P113" s="990" t="s">
        <v>1584</v>
      </c>
      <c r="Q113" s="991" t="s">
        <v>1583</v>
      </c>
      <c r="R113" s="244">
        <f>VLOOKUP(C113,'Valor Materiales'!B:E,4,0)</f>
        <v>23008.78125</v>
      </c>
      <c r="S113" s="990">
        <f>0.274*2.9</f>
        <v>0.79460000000000008</v>
      </c>
      <c r="T113" s="961">
        <v>0</v>
      </c>
      <c r="U113" s="962">
        <v>0</v>
      </c>
      <c r="V113" s="962">
        <f>+S113*R113</f>
        <v>18282.77758125</v>
      </c>
      <c r="W113" s="963">
        <v>0</v>
      </c>
    </row>
    <row r="114" spans="3:23" ht="13.5" thickBot="1" x14ac:dyDescent="0.25">
      <c r="C114" s="992"/>
      <c r="D114" s="993"/>
      <c r="E114" s="992"/>
      <c r="F114" s="994"/>
      <c r="G114" s="953"/>
      <c r="H114" s="995">
        <f>SUM(H108:H113)*1.0373</f>
        <v>4193.8039000000008</v>
      </c>
      <c r="I114" s="996">
        <f>SUM(I108:I113)*1.0373</f>
        <v>25699.397943999997</v>
      </c>
      <c r="J114" s="996">
        <f>SUM(J108:J113)*1.0373</f>
        <v>18964.725185030627</v>
      </c>
      <c r="K114" s="997">
        <f>SUM(K108:K113)</f>
        <v>0</v>
      </c>
      <c r="L114" s="436"/>
      <c r="O114" s="992"/>
      <c r="P114" s="993"/>
      <c r="Q114" s="992"/>
      <c r="R114" s="994"/>
      <c r="S114" s="953"/>
      <c r="T114" s="995">
        <f>SUM(T108:T113)*1.0373</f>
        <v>4193.8039000000008</v>
      </c>
      <c r="U114" s="996">
        <f>SUM(U108:U113)*1.0373</f>
        <v>25699.397943999997</v>
      </c>
      <c r="V114" s="996">
        <f>SUM(V108:V113)*1.0373</f>
        <v>18964.725185030627</v>
      </c>
      <c r="W114" s="997">
        <f>SUM(W108:W113)</f>
        <v>0</v>
      </c>
    </row>
    <row r="115" spans="3:23" x14ac:dyDescent="0.2">
      <c r="F115" s="266"/>
      <c r="H115" s="1209"/>
      <c r="I115" s="1209"/>
      <c r="J115" s="1209"/>
      <c r="K115" s="1209"/>
      <c r="L115" s="436"/>
    </row>
    <row r="116" spans="3:23" ht="13.5" thickBot="1" x14ac:dyDescent="0.25">
      <c r="F116" s="266"/>
      <c r="H116" s="1209"/>
      <c r="I116" s="1209"/>
      <c r="J116" s="1209"/>
      <c r="K116" s="1209"/>
      <c r="L116" s="436"/>
    </row>
    <row r="117" spans="3:23" ht="13.5" thickBot="1" x14ac:dyDescent="0.25">
      <c r="C117" s="950" t="s">
        <v>1518</v>
      </c>
      <c r="D117" s="951" t="s">
        <v>1519</v>
      </c>
      <c r="E117" s="950" t="s">
        <v>931</v>
      </c>
      <c r="F117" s="952" t="s">
        <v>1532</v>
      </c>
      <c r="G117" s="953"/>
      <c r="H117" s="954" t="s">
        <v>1523</v>
      </c>
      <c r="I117" s="955" t="s">
        <v>1524</v>
      </c>
      <c r="J117" s="956" t="s">
        <v>1525</v>
      </c>
      <c r="K117" s="957" t="s">
        <v>1526</v>
      </c>
      <c r="L117" s="436"/>
    </row>
    <row r="118" spans="3:23" ht="26.25" thickBot="1" x14ac:dyDescent="0.25">
      <c r="C118" s="958" t="s">
        <v>2420</v>
      </c>
      <c r="D118" s="959" t="s">
        <v>2853</v>
      </c>
      <c r="E118" s="958" t="s">
        <v>904</v>
      </c>
      <c r="F118" s="960">
        <f>SUM(H126:K126,0)</f>
        <v>16360.05280696875</v>
      </c>
      <c r="G118" s="953"/>
      <c r="H118" s="961">
        <f>+H126</f>
        <v>2068.0857560000004</v>
      </c>
      <c r="I118" s="962">
        <f>+I126</f>
        <v>11982.8896</v>
      </c>
      <c r="J118" s="962">
        <f>+J126</f>
        <v>2309.0774509687499</v>
      </c>
      <c r="K118" s="963">
        <f>+K126</f>
        <v>0</v>
      </c>
      <c r="L118" s="436"/>
    </row>
    <row r="119" spans="3:23" ht="13.5" thickBot="1" x14ac:dyDescent="0.25">
      <c r="C119" s="998" t="s">
        <v>1521</v>
      </c>
      <c r="D119" s="999" t="s">
        <v>930</v>
      </c>
      <c r="E119" s="1000" t="s">
        <v>931</v>
      </c>
      <c r="F119" s="955" t="s">
        <v>1522</v>
      </c>
      <c r="G119" s="1001" t="s">
        <v>932</v>
      </c>
      <c r="H119" s="954" t="s">
        <v>1523</v>
      </c>
      <c r="I119" s="955" t="s">
        <v>1524</v>
      </c>
      <c r="J119" s="956" t="s">
        <v>1525</v>
      </c>
      <c r="K119" s="957" t="s">
        <v>1526</v>
      </c>
      <c r="L119" s="436"/>
    </row>
    <row r="120" spans="3:23" x14ac:dyDescent="0.2">
      <c r="C120" s="972" t="s">
        <v>1619</v>
      </c>
      <c r="D120" s="1002" t="s">
        <v>1528</v>
      </c>
      <c r="E120" s="972" t="s">
        <v>905</v>
      </c>
      <c r="F120" s="975">
        <v>902</v>
      </c>
      <c r="G120" s="1003">
        <v>2</v>
      </c>
      <c r="H120" s="975">
        <f>+ROUND(F120*G120,0)</f>
        <v>1804</v>
      </c>
      <c r="I120" s="975">
        <v>0</v>
      </c>
      <c r="J120" s="975">
        <v>0</v>
      </c>
      <c r="K120" s="977">
        <v>0</v>
      </c>
      <c r="L120" s="436"/>
    </row>
    <row r="121" spans="3:23" x14ac:dyDescent="0.2">
      <c r="C121" s="978" t="s">
        <v>1338</v>
      </c>
      <c r="D121" s="1004" t="s">
        <v>2076</v>
      </c>
      <c r="E121" s="978" t="s">
        <v>914</v>
      </c>
      <c r="F121" s="981">
        <v>186</v>
      </c>
      <c r="G121" s="1005">
        <v>1.02</v>
      </c>
      <c r="H121" s="981">
        <f>+F121*G121</f>
        <v>189.72</v>
      </c>
      <c r="I121" s="981">
        <v>0</v>
      </c>
      <c r="J121" s="981">
        <v>0</v>
      </c>
      <c r="K121" s="983">
        <v>0</v>
      </c>
      <c r="L121" s="436"/>
    </row>
    <row r="122" spans="3:23" x14ac:dyDescent="0.2">
      <c r="C122" s="978" t="s">
        <v>1366</v>
      </c>
      <c r="D122" s="1004" t="s">
        <v>1693</v>
      </c>
      <c r="E122" s="978" t="s">
        <v>905</v>
      </c>
      <c r="F122" s="981">
        <v>2552</v>
      </c>
      <c r="G122" s="1005">
        <v>2</v>
      </c>
      <c r="H122" s="981">
        <v>0</v>
      </c>
      <c r="I122" s="981">
        <f>+G122*F122</f>
        <v>5104</v>
      </c>
      <c r="J122" s="981">
        <v>0</v>
      </c>
      <c r="K122" s="983">
        <v>0</v>
      </c>
      <c r="L122" s="436"/>
    </row>
    <row r="123" spans="3:23" x14ac:dyDescent="0.2">
      <c r="C123" s="978" t="s">
        <v>1365</v>
      </c>
      <c r="D123" s="1004" t="s">
        <v>1692</v>
      </c>
      <c r="E123" s="978" t="s">
        <v>905</v>
      </c>
      <c r="F123" s="981">
        <v>1624</v>
      </c>
      <c r="G123" s="1005">
        <v>2</v>
      </c>
      <c r="H123" s="981">
        <v>0</v>
      </c>
      <c r="I123" s="981">
        <f>+G123*F123</f>
        <v>3248</v>
      </c>
      <c r="J123" s="981">
        <v>0</v>
      </c>
      <c r="K123" s="983">
        <v>0</v>
      </c>
      <c r="L123" s="436"/>
    </row>
    <row r="124" spans="3:23" x14ac:dyDescent="0.2">
      <c r="C124" s="978" t="s">
        <v>1373</v>
      </c>
      <c r="D124" s="1004" t="s">
        <v>1700</v>
      </c>
      <c r="E124" s="978" t="s">
        <v>1701</v>
      </c>
      <c r="F124" s="981">
        <v>1600</v>
      </c>
      <c r="G124" s="1005">
        <v>2</v>
      </c>
      <c r="H124" s="981">
        <v>0</v>
      </c>
      <c r="I124" s="981">
        <f>+G124*F124</f>
        <v>3200</v>
      </c>
      <c r="J124" s="981">
        <v>0</v>
      </c>
      <c r="K124" s="983">
        <v>0</v>
      </c>
      <c r="L124" s="436"/>
    </row>
    <row r="125" spans="3:23" ht="13.5" thickBot="1" x14ac:dyDescent="0.25">
      <c r="C125" s="989" t="s">
        <v>1598</v>
      </c>
      <c r="D125" s="1006" t="s">
        <v>1584</v>
      </c>
      <c r="E125" s="989" t="s">
        <v>1583</v>
      </c>
      <c r="F125" s="962">
        <v>14840.306249999998</v>
      </c>
      <c r="G125" s="1007">
        <v>0.15</v>
      </c>
      <c r="H125" s="962">
        <v>0</v>
      </c>
      <c r="I125" s="962">
        <v>0</v>
      </c>
      <c r="J125" s="962">
        <f>+G125*F125</f>
        <v>2226.0459374999996</v>
      </c>
      <c r="K125" s="963">
        <v>0</v>
      </c>
      <c r="L125" s="436"/>
    </row>
    <row r="126" spans="3:23" ht="13.5" thickBot="1" x14ac:dyDescent="0.25">
      <c r="C126" s="992"/>
      <c r="D126" s="993"/>
      <c r="E126" s="992"/>
      <c r="F126" s="994"/>
      <c r="G126" s="953"/>
      <c r="H126" s="995">
        <f>SUM(H120:H125)*1.0373</f>
        <v>2068.0857560000004</v>
      </c>
      <c r="I126" s="996">
        <f>SUM(I120:I125)*1.0373</f>
        <v>11982.8896</v>
      </c>
      <c r="J126" s="996">
        <f>SUM(J120:J125)*1.0373</f>
        <v>2309.0774509687499</v>
      </c>
      <c r="K126" s="997">
        <f>SUM(K120:K125)</f>
        <v>0</v>
      </c>
    </row>
    <row r="127" spans="3:23" x14ac:dyDescent="0.2">
      <c r="C127" s="992"/>
      <c r="D127" s="993"/>
      <c r="E127" s="992"/>
      <c r="F127" s="994"/>
      <c r="G127" s="953"/>
      <c r="H127" s="1008"/>
      <c r="I127" s="1008"/>
      <c r="J127" s="1008"/>
      <c r="K127" s="1008"/>
    </row>
    <row r="128" spans="3:23" ht="13.5" thickBot="1" x14ac:dyDescent="0.25">
      <c r="F128" s="266"/>
      <c r="H128" s="1209"/>
      <c r="I128" s="1209"/>
      <c r="J128" s="1209"/>
      <c r="K128" s="1209"/>
    </row>
    <row r="129" spans="2:11" ht="13.5" thickBot="1" x14ac:dyDescent="0.25">
      <c r="C129" s="1715" t="s">
        <v>1751</v>
      </c>
      <c r="D129" s="1716"/>
      <c r="E129" s="1716"/>
      <c r="F129" s="1716"/>
      <c r="G129" s="1716"/>
      <c r="H129" s="1716"/>
      <c r="I129" s="1716"/>
      <c r="J129" s="1716"/>
      <c r="K129" s="1717"/>
    </row>
    <row r="130" spans="2:11" ht="13.5" thickBot="1" x14ac:dyDescent="0.25">
      <c r="F130" s="266"/>
    </row>
    <row r="131" spans="2:11" ht="13.5" thickBot="1" x14ac:dyDescent="0.25">
      <c r="C131" s="296" t="s">
        <v>1518</v>
      </c>
      <c r="D131" s="945" t="s">
        <v>1519</v>
      </c>
      <c r="E131" s="296" t="s">
        <v>931</v>
      </c>
      <c r="F131" s="946" t="s">
        <v>1532</v>
      </c>
      <c r="H131" s="272" t="s">
        <v>1523</v>
      </c>
      <c r="I131" s="273" t="s">
        <v>1524</v>
      </c>
      <c r="J131" s="274" t="s">
        <v>1525</v>
      </c>
      <c r="K131" s="275" t="s">
        <v>1526</v>
      </c>
    </row>
    <row r="132" spans="2:11" ht="39" thickBot="1" x14ac:dyDescent="0.25">
      <c r="C132" s="947" t="s">
        <v>1752</v>
      </c>
      <c r="D132" s="948" t="s">
        <v>2940</v>
      </c>
      <c r="E132" s="947" t="s">
        <v>938</v>
      </c>
      <c r="F132" s="949">
        <f>SUM(H140:K140,0)</f>
        <v>12954.095000000001</v>
      </c>
      <c r="H132" s="263">
        <f>+H140</f>
        <v>2310.8200000000002</v>
      </c>
      <c r="I132" s="261">
        <f>+I140</f>
        <v>0</v>
      </c>
      <c r="J132" s="261">
        <f>+J140</f>
        <v>9910.7750000000015</v>
      </c>
      <c r="K132" s="264">
        <f>+K140</f>
        <v>732.5</v>
      </c>
    </row>
    <row r="133" spans="2:11" ht="13.5" thickBot="1" x14ac:dyDescent="0.25">
      <c r="C133" s="237" t="s">
        <v>1521</v>
      </c>
      <c r="D133" s="238" t="s">
        <v>930</v>
      </c>
      <c r="E133" s="239" t="s">
        <v>931</v>
      </c>
      <c r="F133" s="240" t="s">
        <v>1522</v>
      </c>
      <c r="G133" s="158" t="s">
        <v>932</v>
      </c>
      <c r="H133" s="241" t="s">
        <v>1523</v>
      </c>
      <c r="I133" s="240" t="s">
        <v>1524</v>
      </c>
      <c r="J133" s="242" t="s">
        <v>1525</v>
      </c>
      <c r="K133" s="243" t="s">
        <v>1526</v>
      </c>
    </row>
    <row r="134" spans="2:11" x14ac:dyDescent="0.2">
      <c r="B134" s="160"/>
      <c r="C134" s="1235" t="s">
        <v>1619</v>
      </c>
      <c r="D134" s="246" t="str">
        <f>VLOOKUP(C134,'Valor Materiales'!B:E,2,0)</f>
        <v>Herramienta Menor General</v>
      </c>
      <c r="E134" s="247" t="str">
        <f>VLOOKUP(C134,'Valor Materiales'!B:E,3,0)</f>
        <v>Un</v>
      </c>
      <c r="F134" s="248">
        <f>VLOOKUP(C134,'Valor Materiales'!B:E,4,0)</f>
        <v>902</v>
      </c>
      <c r="G134" s="249">
        <v>1</v>
      </c>
      <c r="H134" s="269">
        <f>+G134*F134</f>
        <v>902</v>
      </c>
      <c r="I134" s="270">
        <v>0</v>
      </c>
      <c r="J134" s="244">
        <v>0</v>
      </c>
      <c r="K134" s="245">
        <v>0</v>
      </c>
    </row>
    <row r="135" spans="2:11" x14ac:dyDescent="0.2">
      <c r="C135" s="1206" t="s">
        <v>1333</v>
      </c>
      <c r="D135" s="246" t="str">
        <f>VLOOKUP(C135,'Valor Materiales'!B:E,2,0)</f>
        <v>Alquiler de VibroCompactador tipo Canguro</v>
      </c>
      <c r="E135" s="247" t="str">
        <f>VLOOKUP(C135,'Valor Materiales'!B:E,3,0)</f>
        <v>Día</v>
      </c>
      <c r="F135" s="248">
        <f>VLOOKUP(C135,'Valor Materiales'!B:E,4,0)</f>
        <v>40600</v>
      </c>
      <c r="G135" s="257">
        <v>3.4700000000000002E-2</v>
      </c>
      <c r="H135" s="253">
        <f>+G135*F135</f>
        <v>1408.8200000000002</v>
      </c>
      <c r="I135" s="254">
        <v>0</v>
      </c>
      <c r="J135" s="251">
        <v>0</v>
      </c>
      <c r="K135" s="255">
        <v>0</v>
      </c>
    </row>
    <row r="136" spans="2:11" x14ac:dyDescent="0.2">
      <c r="C136" s="1206" t="s">
        <v>1325</v>
      </c>
      <c r="D136" s="252" t="str">
        <f>VLOOKUP(C136,'Valor Materiales'!B:E,2,0)</f>
        <v>Ensayo de Granulometría de Material para Relleno</v>
      </c>
      <c r="E136" s="256" t="str">
        <f>VLOOKUP(C136,'Valor Materiales'!B:E,3,0)</f>
        <v>Un</v>
      </c>
      <c r="F136" s="254">
        <f>VLOOKUP(C136,'Valor Materiales'!B:E,4,0)</f>
        <v>30000</v>
      </c>
      <c r="G136" s="257">
        <v>3.0999999999999999E-3</v>
      </c>
      <c r="H136" s="253">
        <v>0</v>
      </c>
      <c r="I136" s="254">
        <v>0</v>
      </c>
      <c r="J136" s="258">
        <v>0</v>
      </c>
      <c r="K136" s="259">
        <f>+G136*F136</f>
        <v>93</v>
      </c>
    </row>
    <row r="137" spans="2:11" x14ac:dyDescent="0.2">
      <c r="C137" s="1206" t="s">
        <v>1326</v>
      </c>
      <c r="D137" s="252" t="str">
        <f>VLOOKUP(C137,'Valor Materiales'!B:E,2,0)</f>
        <v>Ensayo de Próctor Modificado para Material de Relleno</v>
      </c>
      <c r="E137" s="256" t="str">
        <f>VLOOKUP(C137,'Valor Materiales'!B:E,3,0)</f>
        <v>Un</v>
      </c>
      <c r="F137" s="254">
        <f>VLOOKUP(C137,'Valor Materiales'!B:E,4,0)</f>
        <v>45000</v>
      </c>
      <c r="G137" s="257">
        <v>3.0999999999999999E-3</v>
      </c>
      <c r="H137" s="250">
        <v>0</v>
      </c>
      <c r="I137" s="254">
        <v>0</v>
      </c>
      <c r="J137" s="258">
        <v>0</v>
      </c>
      <c r="K137" s="259">
        <f>+G137*F137</f>
        <v>139.5</v>
      </c>
    </row>
    <row r="138" spans="2:11" x14ac:dyDescent="0.2">
      <c r="C138" s="1206" t="s">
        <v>1328</v>
      </c>
      <c r="D138" s="252" t="str">
        <f>VLOOKUP(C138,'Valor Materiales'!B:E,2,0)</f>
        <v>Ensayo de Densidad en campo p/Compactación de Relleno</v>
      </c>
      <c r="E138" s="256" t="str">
        <f>VLOOKUP(C138,'Valor Materiales'!B:E,3,0)</f>
        <v>Un</v>
      </c>
      <c r="F138" s="254">
        <f>VLOOKUP(C138,'Valor Materiales'!B:E,4,0)</f>
        <v>20000</v>
      </c>
      <c r="G138" s="257">
        <v>2.5000000000000001E-2</v>
      </c>
      <c r="H138" s="253">
        <v>0</v>
      </c>
      <c r="I138" s="254">
        <v>0</v>
      </c>
      <c r="J138" s="254">
        <v>0</v>
      </c>
      <c r="K138" s="259">
        <f>+G138*F138</f>
        <v>500</v>
      </c>
    </row>
    <row r="139" spans="2:11" ht="13.5" thickBot="1" x14ac:dyDescent="0.25">
      <c r="C139" s="1208" t="s">
        <v>1600</v>
      </c>
      <c r="D139" s="147" t="str">
        <f>VLOOKUP(C139,'Valor Materiales'!B:E,2,0)</f>
        <v>Cuadrilla tipo IV (4ay) - Cargue/Evacuación escombros</v>
      </c>
      <c r="E139" s="260" t="str">
        <f>VLOOKUP(C139,'Valor Materiales'!B:E,3,0)</f>
        <v>Hr</v>
      </c>
      <c r="F139" s="261">
        <f>VLOOKUP(C139,'Valor Materiales'!B:E,4,0)</f>
        <v>24776.9375</v>
      </c>
      <c r="G139" s="262">
        <v>0.4</v>
      </c>
      <c r="H139" s="263">
        <v>0</v>
      </c>
      <c r="I139" s="261">
        <v>0</v>
      </c>
      <c r="J139" s="268">
        <f>+G139*F139</f>
        <v>9910.7750000000015</v>
      </c>
      <c r="K139" s="264">
        <v>0</v>
      </c>
    </row>
    <row r="140" spans="2:11" ht="13.5" thickBot="1" x14ac:dyDescent="0.25">
      <c r="F140" s="266"/>
      <c r="H140" s="267">
        <f>SUM(H134:H139)</f>
        <v>2310.8200000000002</v>
      </c>
      <c r="I140" s="267">
        <f t="shared" ref="I140:K140" si="6">SUM(I134:I139)</f>
        <v>0</v>
      </c>
      <c r="J140" s="267">
        <f t="shared" si="6"/>
        <v>9910.7750000000015</v>
      </c>
      <c r="K140" s="267">
        <f t="shared" si="6"/>
        <v>732.5</v>
      </c>
    </row>
    <row r="141" spans="2:11" ht="13.5" thickBot="1" x14ac:dyDescent="0.25">
      <c r="F141" s="266"/>
    </row>
    <row r="142" spans="2:11" ht="13.5" thickBot="1" x14ac:dyDescent="0.25">
      <c r="C142" s="296" t="s">
        <v>1518</v>
      </c>
      <c r="D142" s="945" t="s">
        <v>1519</v>
      </c>
      <c r="E142" s="296" t="s">
        <v>931</v>
      </c>
      <c r="F142" s="946" t="s">
        <v>1532</v>
      </c>
      <c r="H142" s="272" t="s">
        <v>1523</v>
      </c>
      <c r="I142" s="273" t="s">
        <v>1524</v>
      </c>
      <c r="J142" s="274" t="s">
        <v>1525</v>
      </c>
      <c r="K142" s="275" t="s">
        <v>1526</v>
      </c>
    </row>
    <row r="143" spans="2:11" ht="39" thickBot="1" x14ac:dyDescent="0.25">
      <c r="C143" s="947" t="s">
        <v>1753</v>
      </c>
      <c r="D143" s="948" t="s">
        <v>2937</v>
      </c>
      <c r="E143" s="947" t="s">
        <v>938</v>
      </c>
      <c r="F143" s="949">
        <f>SUM(H152:K152,0)</f>
        <v>35447.11</v>
      </c>
      <c r="H143" s="263">
        <f>+H152</f>
        <v>2225.56</v>
      </c>
      <c r="I143" s="261">
        <f>+I152</f>
        <v>12360</v>
      </c>
      <c r="J143" s="261">
        <f>+J152</f>
        <v>19821.550000000003</v>
      </c>
      <c r="K143" s="264">
        <f>+K152</f>
        <v>1040</v>
      </c>
    </row>
    <row r="144" spans="2:11" ht="13.5" thickBot="1" x14ac:dyDescent="0.25">
      <c r="B144" s="160"/>
      <c r="C144" s="237" t="s">
        <v>1521</v>
      </c>
      <c r="D144" s="238" t="s">
        <v>930</v>
      </c>
      <c r="E144" s="239" t="s">
        <v>931</v>
      </c>
      <c r="F144" s="240" t="s">
        <v>1522</v>
      </c>
      <c r="G144" s="158" t="s">
        <v>932</v>
      </c>
      <c r="H144" s="241" t="s">
        <v>1523</v>
      </c>
      <c r="I144" s="240" t="s">
        <v>1524</v>
      </c>
      <c r="J144" s="242" t="s">
        <v>1525</v>
      </c>
      <c r="K144" s="243" t="s">
        <v>1526</v>
      </c>
    </row>
    <row r="145" spans="2:11" x14ac:dyDescent="0.2">
      <c r="C145" s="1235" t="s">
        <v>1619</v>
      </c>
      <c r="D145" s="246" t="str">
        <f>VLOOKUP(C145,'Valor Materiales'!B:E,2,0)</f>
        <v>Herramienta Menor General</v>
      </c>
      <c r="E145" s="247" t="str">
        <f>VLOOKUP(C145,'Valor Materiales'!B:E,3,0)</f>
        <v>Un</v>
      </c>
      <c r="F145" s="248">
        <f>VLOOKUP(C145,'Valor Materiales'!B:E,4,0)</f>
        <v>902</v>
      </c>
      <c r="G145" s="249">
        <v>1</v>
      </c>
      <c r="H145" s="269">
        <f>+G145*F145</f>
        <v>902</v>
      </c>
      <c r="I145" s="270">
        <v>0</v>
      </c>
      <c r="J145" s="244">
        <v>0</v>
      </c>
      <c r="K145" s="245">
        <v>0</v>
      </c>
    </row>
    <row r="146" spans="2:11" x14ac:dyDescent="0.2">
      <c r="C146" s="1206" t="s">
        <v>1333</v>
      </c>
      <c r="D146" s="246" t="str">
        <f>VLOOKUP(C146,'Valor Materiales'!B:E,2,0)</f>
        <v>Alquiler de VibroCompactador tipo Canguro</v>
      </c>
      <c r="E146" s="247" t="str">
        <f>VLOOKUP(C146,'Valor Materiales'!B:E,3,0)</f>
        <v>Día</v>
      </c>
      <c r="F146" s="248">
        <f>VLOOKUP(C146,'Valor Materiales'!B:E,4,0)</f>
        <v>40600</v>
      </c>
      <c r="G146" s="257">
        <v>3.2599999999999997E-2</v>
      </c>
      <c r="H146" s="253">
        <f>+G146*F146</f>
        <v>1323.56</v>
      </c>
      <c r="I146" s="254">
        <v>0</v>
      </c>
      <c r="J146" s="251">
        <v>0</v>
      </c>
      <c r="K146" s="255">
        <v>0</v>
      </c>
    </row>
    <row r="147" spans="2:11" x14ac:dyDescent="0.2">
      <c r="C147" s="1206" t="s">
        <v>1325</v>
      </c>
      <c r="D147" s="252" t="str">
        <f>VLOOKUP(C147,'Valor Materiales'!B:E,2,0)</f>
        <v>Ensayo de Granulometría de Material para Relleno</v>
      </c>
      <c r="E147" s="256" t="str">
        <f>VLOOKUP(C147,'Valor Materiales'!B:E,3,0)</f>
        <v>Un</v>
      </c>
      <c r="F147" s="254">
        <f>VLOOKUP(C147,'Valor Materiales'!B:E,4,0)</f>
        <v>30000</v>
      </c>
      <c r="G147" s="257">
        <v>7.1999999999999998E-3</v>
      </c>
      <c r="H147" s="253">
        <v>0</v>
      </c>
      <c r="I147" s="254">
        <v>0</v>
      </c>
      <c r="J147" s="258">
        <v>0</v>
      </c>
      <c r="K147" s="259">
        <f>+G147*F147</f>
        <v>216</v>
      </c>
    </row>
    <row r="148" spans="2:11" x14ac:dyDescent="0.2">
      <c r="C148" s="1206" t="s">
        <v>1326</v>
      </c>
      <c r="D148" s="252" t="str">
        <f>VLOOKUP(C148,'Valor Materiales'!B:E,2,0)</f>
        <v>Ensayo de Próctor Modificado para Material de Relleno</v>
      </c>
      <c r="E148" s="256" t="str">
        <f>VLOOKUP(C148,'Valor Materiales'!B:E,3,0)</f>
        <v>Un</v>
      </c>
      <c r="F148" s="254">
        <f>VLOOKUP(C148,'Valor Materiales'!B:E,4,0)</f>
        <v>45000</v>
      </c>
      <c r="G148" s="257">
        <v>7.1999999999999998E-3</v>
      </c>
      <c r="H148" s="250">
        <v>0</v>
      </c>
      <c r="I148" s="254">
        <v>0</v>
      </c>
      <c r="J148" s="258">
        <v>0</v>
      </c>
      <c r="K148" s="259">
        <f>+G148*F148</f>
        <v>324</v>
      </c>
    </row>
    <row r="149" spans="2:11" x14ac:dyDescent="0.2">
      <c r="C149" s="1206" t="s">
        <v>1328</v>
      </c>
      <c r="D149" s="252" t="str">
        <f>VLOOKUP(C149,'Valor Materiales'!B:E,2,0)</f>
        <v>Ensayo de Densidad en campo p/Compactación de Relleno</v>
      </c>
      <c r="E149" s="256" t="str">
        <f>VLOOKUP(C149,'Valor Materiales'!B:E,3,0)</f>
        <v>Un</v>
      </c>
      <c r="F149" s="254">
        <f>VLOOKUP(C149,'Valor Materiales'!B:E,4,0)</f>
        <v>20000</v>
      </c>
      <c r="G149" s="257">
        <v>2.5000000000000001E-2</v>
      </c>
      <c r="H149" s="253">
        <v>0</v>
      </c>
      <c r="I149" s="254">
        <v>0</v>
      </c>
      <c r="J149" s="254">
        <v>0</v>
      </c>
      <c r="K149" s="259">
        <f>+G149*F149</f>
        <v>500</v>
      </c>
    </row>
    <row r="150" spans="2:11" x14ac:dyDescent="0.2">
      <c r="C150" s="1206" t="s">
        <v>1652</v>
      </c>
      <c r="D150" s="252" t="str">
        <f>VLOOKUP(C150,'Valor Materiales'!B:E,2,0)</f>
        <v>Material Común (Tierra) de Cantera de Préstamo p/Relleno</v>
      </c>
      <c r="E150" s="256" t="str">
        <f>VLOOKUP(C150,'Valor Materiales'!B:E,3,0)</f>
        <v>M3 suelto</v>
      </c>
      <c r="F150" s="254">
        <f>VLOOKUP(C150,'Valor Materiales'!B:E,4,0)</f>
        <v>12000</v>
      </c>
      <c r="G150" s="257">
        <v>1.03</v>
      </c>
      <c r="H150" s="253">
        <v>0</v>
      </c>
      <c r="I150" s="254">
        <f>+G150*F150</f>
        <v>12360</v>
      </c>
      <c r="J150" s="254">
        <v>0</v>
      </c>
      <c r="K150" s="259">
        <v>0</v>
      </c>
    </row>
    <row r="151" spans="2:11" ht="13.5" thickBot="1" x14ac:dyDescent="0.25">
      <c r="C151" s="1208" t="s">
        <v>1600</v>
      </c>
      <c r="D151" s="147" t="str">
        <f>VLOOKUP(C151,'Valor Materiales'!B:E,2,0)</f>
        <v>Cuadrilla tipo IV (4ay) - Cargue/Evacuación escombros</v>
      </c>
      <c r="E151" s="260" t="str">
        <f>VLOOKUP(C151,'Valor Materiales'!B:E,3,0)</f>
        <v>Hr</v>
      </c>
      <c r="F151" s="261">
        <f>VLOOKUP(C151,'Valor Materiales'!B:E,4,0)</f>
        <v>24776.9375</v>
      </c>
      <c r="G151" s="262">
        <v>0.8</v>
      </c>
      <c r="H151" s="263">
        <v>0</v>
      </c>
      <c r="I151" s="261">
        <v>0</v>
      </c>
      <c r="J151" s="268">
        <f>+G151*F151</f>
        <v>19821.550000000003</v>
      </c>
      <c r="K151" s="264">
        <v>0</v>
      </c>
    </row>
    <row r="152" spans="2:11" ht="13.5" thickBot="1" x14ac:dyDescent="0.25">
      <c r="F152" s="266"/>
      <c r="H152" s="267">
        <f>SUM(H145:H151)</f>
        <v>2225.56</v>
      </c>
      <c r="I152" s="267">
        <f t="shared" ref="I152:K152" si="7">SUM(I145:I151)</f>
        <v>12360</v>
      </c>
      <c r="J152" s="267">
        <f t="shared" si="7"/>
        <v>19821.550000000003</v>
      </c>
      <c r="K152" s="267">
        <f t="shared" si="7"/>
        <v>1040</v>
      </c>
    </row>
    <row r="153" spans="2:11" ht="13.5" thickBot="1" x14ac:dyDescent="0.25">
      <c r="F153" s="266"/>
    </row>
    <row r="154" spans="2:11" ht="13.5" thickBot="1" x14ac:dyDescent="0.25">
      <c r="C154" s="296" t="s">
        <v>1518</v>
      </c>
      <c r="D154" s="945" t="s">
        <v>1519</v>
      </c>
      <c r="E154" s="296" t="s">
        <v>931</v>
      </c>
      <c r="F154" s="946" t="s">
        <v>1532</v>
      </c>
      <c r="H154" s="272" t="s">
        <v>1523</v>
      </c>
      <c r="I154" s="273" t="s">
        <v>1524</v>
      </c>
      <c r="J154" s="274" t="s">
        <v>1525</v>
      </c>
      <c r="K154" s="275" t="s">
        <v>1526</v>
      </c>
    </row>
    <row r="155" spans="2:11" ht="26.25" thickBot="1" x14ac:dyDescent="0.25">
      <c r="C155" s="947" t="s">
        <v>2727</v>
      </c>
      <c r="D155" s="948" t="s">
        <v>2938</v>
      </c>
      <c r="E155" s="947" t="s">
        <v>938</v>
      </c>
      <c r="F155" s="949">
        <f>SUM(H164:K164,0)</f>
        <v>62227.11</v>
      </c>
      <c r="H155" s="263">
        <f>+H164</f>
        <v>2225.56</v>
      </c>
      <c r="I155" s="261">
        <f>+I164</f>
        <v>39140</v>
      </c>
      <c r="J155" s="261">
        <f>+J164</f>
        <v>19821.550000000003</v>
      </c>
      <c r="K155" s="264">
        <f>+K164</f>
        <v>1040</v>
      </c>
    </row>
    <row r="156" spans="2:11" ht="13.5" thickBot="1" x14ac:dyDescent="0.25">
      <c r="B156" s="160"/>
      <c r="C156" s="237" t="s">
        <v>1521</v>
      </c>
      <c r="D156" s="238" t="s">
        <v>930</v>
      </c>
      <c r="E156" s="239" t="s">
        <v>931</v>
      </c>
      <c r="F156" s="240" t="s">
        <v>1522</v>
      </c>
      <c r="G156" s="158" t="s">
        <v>932</v>
      </c>
      <c r="H156" s="241" t="s">
        <v>1523</v>
      </c>
      <c r="I156" s="240" t="s">
        <v>1524</v>
      </c>
      <c r="J156" s="242" t="s">
        <v>1525</v>
      </c>
      <c r="K156" s="243" t="s">
        <v>1526</v>
      </c>
    </row>
    <row r="157" spans="2:11" x14ac:dyDescent="0.2">
      <c r="C157" s="1235" t="s">
        <v>1619</v>
      </c>
      <c r="D157" s="246" t="str">
        <f>VLOOKUP(C157,'Valor Materiales'!B:E,2,0)</f>
        <v>Herramienta Menor General</v>
      </c>
      <c r="E157" s="247" t="str">
        <f>VLOOKUP(C157,'Valor Materiales'!B:E,3,0)</f>
        <v>Un</v>
      </c>
      <c r="F157" s="248">
        <f>VLOOKUP(C157,'Valor Materiales'!B:E,4,0)</f>
        <v>902</v>
      </c>
      <c r="G157" s="249">
        <v>1</v>
      </c>
      <c r="H157" s="269">
        <f>+G157*F157</f>
        <v>902</v>
      </c>
      <c r="I157" s="270">
        <v>0</v>
      </c>
      <c r="J157" s="244">
        <v>0</v>
      </c>
      <c r="K157" s="245">
        <v>0</v>
      </c>
    </row>
    <row r="158" spans="2:11" x14ac:dyDescent="0.2">
      <c r="C158" s="1206" t="s">
        <v>1333</v>
      </c>
      <c r="D158" s="246" t="str">
        <f>VLOOKUP(C158,'Valor Materiales'!B:E,2,0)</f>
        <v>Alquiler de VibroCompactador tipo Canguro</v>
      </c>
      <c r="E158" s="247" t="str">
        <f>VLOOKUP(C158,'Valor Materiales'!B:E,3,0)</f>
        <v>Día</v>
      </c>
      <c r="F158" s="248">
        <f>VLOOKUP(C158,'Valor Materiales'!B:E,4,0)</f>
        <v>40600</v>
      </c>
      <c r="G158" s="257">
        <v>3.2599999999999997E-2</v>
      </c>
      <c r="H158" s="253">
        <f>+G158*F158</f>
        <v>1323.56</v>
      </c>
      <c r="I158" s="254">
        <v>0</v>
      </c>
      <c r="J158" s="251">
        <v>0</v>
      </c>
      <c r="K158" s="255">
        <v>0</v>
      </c>
    </row>
    <row r="159" spans="2:11" x14ac:dyDescent="0.2">
      <c r="C159" s="1206" t="s">
        <v>1325</v>
      </c>
      <c r="D159" s="252" t="str">
        <f>VLOOKUP(C159,'Valor Materiales'!B:E,2,0)</f>
        <v>Ensayo de Granulometría de Material para Relleno</v>
      </c>
      <c r="E159" s="256" t="str">
        <f>VLOOKUP(C159,'Valor Materiales'!B:E,3,0)</f>
        <v>Un</v>
      </c>
      <c r="F159" s="254">
        <f>VLOOKUP(C159,'Valor Materiales'!B:E,4,0)</f>
        <v>30000</v>
      </c>
      <c r="G159" s="257">
        <v>7.1999999999999998E-3</v>
      </c>
      <c r="H159" s="253">
        <v>0</v>
      </c>
      <c r="I159" s="254">
        <v>0</v>
      </c>
      <c r="J159" s="258">
        <v>0</v>
      </c>
      <c r="K159" s="259">
        <f>+G159*F159</f>
        <v>216</v>
      </c>
    </row>
    <row r="160" spans="2:11" x14ac:dyDescent="0.2">
      <c r="C160" s="1206" t="s">
        <v>1326</v>
      </c>
      <c r="D160" s="252" t="str">
        <f>VLOOKUP(C160,'Valor Materiales'!B:E,2,0)</f>
        <v>Ensayo de Próctor Modificado para Material de Relleno</v>
      </c>
      <c r="E160" s="256" t="str">
        <f>VLOOKUP(C160,'Valor Materiales'!B:E,3,0)</f>
        <v>Un</v>
      </c>
      <c r="F160" s="254">
        <f>VLOOKUP(C160,'Valor Materiales'!B:E,4,0)</f>
        <v>45000</v>
      </c>
      <c r="G160" s="257">
        <v>7.1999999999999998E-3</v>
      </c>
      <c r="H160" s="250">
        <v>0</v>
      </c>
      <c r="I160" s="254">
        <v>0</v>
      </c>
      <c r="J160" s="258">
        <v>0</v>
      </c>
      <c r="K160" s="259">
        <f>+G160*F160</f>
        <v>324</v>
      </c>
    </row>
    <row r="161" spans="2:12" x14ac:dyDescent="0.2">
      <c r="C161" s="1206" t="s">
        <v>1328</v>
      </c>
      <c r="D161" s="252" t="str">
        <f>VLOOKUP(C161,'Valor Materiales'!B:E,2,0)</f>
        <v>Ensayo de Densidad en campo p/Compactación de Relleno</v>
      </c>
      <c r="E161" s="256" t="str">
        <f>VLOOKUP(C161,'Valor Materiales'!B:E,3,0)</f>
        <v>Un</v>
      </c>
      <c r="F161" s="254">
        <f>VLOOKUP(C161,'Valor Materiales'!B:E,4,0)</f>
        <v>20000</v>
      </c>
      <c r="G161" s="257">
        <v>2.5000000000000001E-2</v>
      </c>
      <c r="H161" s="253">
        <v>0</v>
      </c>
      <c r="I161" s="254">
        <v>0</v>
      </c>
      <c r="J161" s="254">
        <v>0</v>
      </c>
      <c r="K161" s="259">
        <f>+G161*F161</f>
        <v>500</v>
      </c>
    </row>
    <row r="162" spans="2:12" x14ac:dyDescent="0.2">
      <c r="C162" s="1206" t="s">
        <v>1647</v>
      </c>
      <c r="D162" s="252" t="str">
        <f>VLOOKUP(C162,'Valor Materiales'!B:E,2,0)</f>
        <v>Afirmado tipo El Faro</v>
      </c>
      <c r="E162" s="256" t="str">
        <f>VLOOKUP(C162,'Valor Materiales'!B:E,3,0)</f>
        <v>M3</v>
      </c>
      <c r="F162" s="254">
        <f>VLOOKUP(C162,'Valor Materiales'!B:E,4,0)</f>
        <v>38000</v>
      </c>
      <c r="G162" s="257">
        <v>1.03</v>
      </c>
      <c r="H162" s="253">
        <v>0</v>
      </c>
      <c r="I162" s="254">
        <f>+G162*F162</f>
        <v>39140</v>
      </c>
      <c r="J162" s="254">
        <v>0</v>
      </c>
      <c r="K162" s="259">
        <v>0</v>
      </c>
    </row>
    <row r="163" spans="2:12" ht="13.5" thickBot="1" x14ac:dyDescent="0.25">
      <c r="C163" s="1208" t="s">
        <v>1600</v>
      </c>
      <c r="D163" s="147" t="str">
        <f>VLOOKUP(C163,'Valor Materiales'!B:E,2,0)</f>
        <v>Cuadrilla tipo IV (4ay) - Cargue/Evacuación escombros</v>
      </c>
      <c r="E163" s="260" t="str">
        <f>VLOOKUP(C163,'Valor Materiales'!B:E,3,0)</f>
        <v>Hr</v>
      </c>
      <c r="F163" s="261">
        <f>VLOOKUP(C163,'Valor Materiales'!B:E,4,0)</f>
        <v>24776.9375</v>
      </c>
      <c r="G163" s="262">
        <v>0.8</v>
      </c>
      <c r="H163" s="263">
        <v>0</v>
      </c>
      <c r="I163" s="261">
        <v>0</v>
      </c>
      <c r="J163" s="268">
        <f>+G163*F163</f>
        <v>19821.550000000003</v>
      </c>
      <c r="K163" s="264">
        <v>0</v>
      </c>
    </row>
    <row r="164" spans="2:12" ht="13.5" thickBot="1" x14ac:dyDescent="0.25">
      <c r="F164" s="266"/>
      <c r="H164" s="1236">
        <f>SUM(H157:H163)</f>
        <v>2225.56</v>
      </c>
      <c r="I164" s="1236">
        <f t="shared" ref="I164:K164" si="8">SUM(I157:I163)</f>
        <v>39140</v>
      </c>
      <c r="J164" s="1236">
        <f t="shared" si="8"/>
        <v>19821.550000000003</v>
      </c>
      <c r="K164" s="1237">
        <f t="shared" si="8"/>
        <v>1040</v>
      </c>
    </row>
    <row r="165" spans="2:12" ht="13.5" thickBot="1" x14ac:dyDescent="0.25">
      <c r="F165" s="266"/>
      <c r="H165" s="1209"/>
      <c r="I165" s="1209"/>
      <c r="J165" s="1209"/>
      <c r="K165" s="1209"/>
    </row>
    <row r="166" spans="2:12" ht="13.5" thickBot="1" x14ac:dyDescent="0.25">
      <c r="C166" s="296" t="s">
        <v>1518</v>
      </c>
      <c r="D166" s="945" t="s">
        <v>1519</v>
      </c>
      <c r="E166" s="296" t="s">
        <v>931</v>
      </c>
      <c r="F166" s="946" t="s">
        <v>1532</v>
      </c>
      <c r="H166" s="272" t="s">
        <v>1523</v>
      </c>
      <c r="I166" s="273" t="s">
        <v>1524</v>
      </c>
      <c r="J166" s="274" t="s">
        <v>1525</v>
      </c>
      <c r="K166" s="275" t="s">
        <v>1526</v>
      </c>
    </row>
    <row r="167" spans="2:12" ht="27" thickBot="1" x14ac:dyDescent="0.3">
      <c r="C167" s="947" t="s">
        <v>2728</v>
      </c>
      <c r="D167" s="948" t="s">
        <v>2939</v>
      </c>
      <c r="E167" s="947" t="s">
        <v>938</v>
      </c>
      <c r="F167" s="949">
        <f>+H167+I167+J167+K167</f>
        <v>57726.390625</v>
      </c>
      <c r="H167" s="263">
        <f>+H172</f>
        <v>902</v>
      </c>
      <c r="I167" s="261">
        <f>+I172</f>
        <v>45320</v>
      </c>
      <c r="J167" s="261">
        <f>+J172</f>
        <v>11504.390625</v>
      </c>
      <c r="K167" s="264">
        <f>+K172</f>
        <v>0</v>
      </c>
      <c r="L167" s="743"/>
    </row>
    <row r="168" spans="2:12" ht="15.75" thickBot="1" x14ac:dyDescent="0.3">
      <c r="C168" s="237" t="s">
        <v>1521</v>
      </c>
      <c r="D168" s="238" t="s">
        <v>930</v>
      </c>
      <c r="E168" s="239" t="s">
        <v>931</v>
      </c>
      <c r="F168" s="243" t="s">
        <v>1522</v>
      </c>
      <c r="G168" s="271" t="s">
        <v>932</v>
      </c>
      <c r="H168" s="241" t="s">
        <v>1523</v>
      </c>
      <c r="I168" s="240" t="s">
        <v>1524</v>
      </c>
      <c r="J168" s="242" t="s">
        <v>1525</v>
      </c>
      <c r="K168" s="243" t="s">
        <v>1526</v>
      </c>
      <c r="L168" s="743"/>
    </row>
    <row r="169" spans="2:12" ht="15" x14ac:dyDescent="0.25">
      <c r="C169" s="1199" t="s">
        <v>1619</v>
      </c>
      <c r="D169" s="1200" t="str">
        <f>VLOOKUP(C169,'Valor Materiales'!B:E,2,0)</f>
        <v>Herramienta Menor General</v>
      </c>
      <c r="E169" s="1201" t="str">
        <f>VLOOKUP(C169,'Valor Materiales'!B:E,3,0)</f>
        <v>Un</v>
      </c>
      <c r="F169" s="244">
        <f>VLOOKUP(C169,'Valor Materiales'!B:E,4,0)</f>
        <v>902</v>
      </c>
      <c r="G169" s="1238">
        <v>1</v>
      </c>
      <c r="H169" s="269">
        <v>902</v>
      </c>
      <c r="I169" s="270">
        <v>0</v>
      </c>
      <c r="J169" s="244">
        <v>0</v>
      </c>
      <c r="K169" s="245">
        <v>0</v>
      </c>
      <c r="L169" s="743"/>
    </row>
    <row r="170" spans="2:12" ht="15" x14ac:dyDescent="0.25">
      <c r="C170" s="1206" t="s">
        <v>1641</v>
      </c>
      <c r="D170" s="252" t="str">
        <f>VLOOKUP(C170,'Valor Materiales'!B:E,2,0)</f>
        <v>Arena de Río lavada para Concreto</v>
      </c>
      <c r="E170" s="256" t="str">
        <f>VLOOKUP(C170,'Valor Materiales'!B:E,3,0)</f>
        <v>M3</v>
      </c>
      <c r="F170" s="254">
        <f>VLOOKUP(C170,'Valor Materiales'!B:E,4,0)</f>
        <v>40000</v>
      </c>
      <c r="G170" s="1239">
        <v>1.133</v>
      </c>
      <c r="H170" s="253">
        <v>0</v>
      </c>
      <c r="I170" s="254">
        <f>+F170*G170</f>
        <v>45320</v>
      </c>
      <c r="J170" s="251">
        <v>0</v>
      </c>
      <c r="K170" s="255">
        <v>0</v>
      </c>
      <c r="L170" s="743"/>
    </row>
    <row r="171" spans="2:12" ht="15.75" thickBot="1" x14ac:dyDescent="0.3">
      <c r="B171" s="160"/>
      <c r="C171" s="1208" t="str">
        <f>+'Valor Materiales'!B9</f>
        <v>1.2</v>
      </c>
      <c r="D171" s="147" t="str">
        <f>VLOOKUP(C171,'Valor Materiales'!B:E,2,0)</f>
        <v>Cuadrilla tipo II (1of + 2ay)</v>
      </c>
      <c r="E171" s="260" t="str">
        <f>VLOOKUP(C171,'Valor Materiales'!B:E,3,0)</f>
        <v>Hr</v>
      </c>
      <c r="F171" s="261">
        <f>VLOOKUP(C171,'Valor Materiales'!B:E,4,0)</f>
        <v>23008.78125</v>
      </c>
      <c r="G171" s="1240">
        <v>0.5</v>
      </c>
      <c r="H171" s="263">
        <v>0</v>
      </c>
      <c r="I171" s="261">
        <v>0</v>
      </c>
      <c r="J171" s="261">
        <f>+F171*G171</f>
        <v>11504.390625</v>
      </c>
      <c r="K171" s="264">
        <v>0</v>
      </c>
      <c r="L171" s="743"/>
    </row>
    <row r="172" spans="2:12" ht="13.5" thickBot="1" x14ac:dyDescent="0.25">
      <c r="C172" s="1241"/>
      <c r="D172" s="161"/>
      <c r="E172" s="1241"/>
      <c r="H172" s="267">
        <f>SUM(H169:H171)</f>
        <v>902</v>
      </c>
      <c r="I172" s="267">
        <f>SUM(I169:I171)</f>
        <v>45320</v>
      </c>
      <c r="J172" s="267">
        <f>SUM(J169:J171)</f>
        <v>11504.390625</v>
      </c>
      <c r="K172" s="267">
        <f>SUM(K169:K171)</f>
        <v>0</v>
      </c>
      <c r="L172" s="436"/>
    </row>
    <row r="173" spans="2:12" x14ac:dyDescent="0.2">
      <c r="C173" s="1241"/>
      <c r="D173" s="161"/>
      <c r="E173" s="1241"/>
      <c r="H173" s="1209"/>
      <c r="I173" s="1209"/>
      <c r="J173" s="1209"/>
      <c r="K173" s="1209"/>
      <c r="L173" s="436"/>
    </row>
    <row r="174" spans="2:12" ht="13.5" thickBot="1" x14ac:dyDescent="0.25">
      <c r="L174" s="436"/>
    </row>
    <row r="175" spans="2:12" ht="13.5" thickBot="1" x14ac:dyDescent="0.25">
      <c r="C175" s="1715" t="s">
        <v>2102</v>
      </c>
      <c r="D175" s="1716"/>
      <c r="E175" s="1716"/>
      <c r="F175" s="1716"/>
      <c r="G175" s="1716"/>
      <c r="H175" s="1716"/>
      <c r="I175" s="1716"/>
      <c r="J175" s="1716"/>
      <c r="K175" s="1717"/>
      <c r="L175" s="436"/>
    </row>
    <row r="176" spans="2:12" ht="13.5" thickBot="1" x14ac:dyDescent="0.25">
      <c r="F176" s="266"/>
      <c r="L176" s="436"/>
    </row>
    <row r="177" spans="3:12" ht="13.5" thickBot="1" x14ac:dyDescent="0.25">
      <c r="C177" s="296" t="s">
        <v>1518</v>
      </c>
      <c r="D177" s="945" t="s">
        <v>1519</v>
      </c>
      <c r="E177" s="296" t="s">
        <v>931</v>
      </c>
      <c r="F177" s="946" t="s">
        <v>1532</v>
      </c>
      <c r="H177" s="272" t="s">
        <v>1523</v>
      </c>
      <c r="I177" s="273" t="s">
        <v>1524</v>
      </c>
      <c r="J177" s="274" t="s">
        <v>1525</v>
      </c>
      <c r="K177" s="275" t="s">
        <v>1526</v>
      </c>
      <c r="L177" s="436"/>
    </row>
    <row r="178" spans="3:12" ht="39" thickBot="1" x14ac:dyDescent="0.25">
      <c r="C178" s="947" t="s">
        <v>2103</v>
      </c>
      <c r="D178" s="948" t="s">
        <v>2941</v>
      </c>
      <c r="E178" s="947" t="s">
        <v>938</v>
      </c>
      <c r="F178" s="949">
        <f>SUM(H189:K189,0)</f>
        <v>73764.559200000003</v>
      </c>
      <c r="H178" s="263">
        <f>+H189</f>
        <v>3023</v>
      </c>
      <c r="I178" s="261">
        <f>+I189</f>
        <v>53560</v>
      </c>
      <c r="J178" s="261">
        <f>+J189</f>
        <v>13281.5592</v>
      </c>
      <c r="K178" s="264">
        <f>+K189</f>
        <v>3900</v>
      </c>
      <c r="L178" s="436"/>
    </row>
    <row r="179" spans="3:12" ht="13.5" thickBot="1" x14ac:dyDescent="0.25">
      <c r="C179" s="237" t="s">
        <v>1521</v>
      </c>
      <c r="D179" s="238" t="s">
        <v>930</v>
      </c>
      <c r="E179" s="239" t="s">
        <v>931</v>
      </c>
      <c r="F179" s="240" t="s">
        <v>1522</v>
      </c>
      <c r="G179" s="158" t="s">
        <v>932</v>
      </c>
      <c r="H179" s="241" t="s">
        <v>1523</v>
      </c>
      <c r="I179" s="240" t="s">
        <v>1524</v>
      </c>
      <c r="J179" s="242" t="s">
        <v>1525</v>
      </c>
      <c r="K179" s="243" t="s">
        <v>1526</v>
      </c>
      <c r="L179" s="436"/>
    </row>
    <row r="180" spans="3:12" x14ac:dyDescent="0.2">
      <c r="C180" s="1235" t="s">
        <v>1619</v>
      </c>
      <c r="D180" s="1210" t="str">
        <f>VLOOKUP(C180,'Valor Materiales'!B:E,2,0)</f>
        <v>Herramienta Menor General</v>
      </c>
      <c r="E180" s="1211" t="str">
        <f>VLOOKUP(C180,'Valor Materiales'!B:E,3,0)</f>
        <v>Un</v>
      </c>
      <c r="F180" s="254">
        <f>VLOOKUP(C180,'Valor Materiales'!B:E,4,0)</f>
        <v>902</v>
      </c>
      <c r="G180" s="249">
        <v>1</v>
      </c>
      <c r="H180" s="269">
        <f>+G180*F180</f>
        <v>902</v>
      </c>
      <c r="I180" s="270">
        <v>0</v>
      </c>
      <c r="J180" s="244">
        <v>0</v>
      </c>
      <c r="K180" s="245">
        <v>0</v>
      </c>
      <c r="L180" s="436"/>
    </row>
    <row r="181" spans="3:12" x14ac:dyDescent="0.2">
      <c r="C181" s="1206" t="s">
        <v>1334</v>
      </c>
      <c r="D181" s="1210" t="str">
        <f>VLOOKUP(C181,'Valor Materiales'!B:E,2,0)</f>
        <v>Alquiler de Vibrocompactador tipo Rana</v>
      </c>
      <c r="E181" s="1211" t="str">
        <f>VLOOKUP(C181,'Valor Materiales'!B:E,3,0)</f>
        <v>Día</v>
      </c>
      <c r="F181" s="254">
        <f>VLOOKUP(C181,'Valor Materiales'!B:E,4,0)</f>
        <v>35000</v>
      </c>
      <c r="G181" s="257">
        <v>6.0600000000000001E-2</v>
      </c>
      <c r="H181" s="253">
        <f>+G181*F181</f>
        <v>2121</v>
      </c>
      <c r="I181" s="254">
        <v>0</v>
      </c>
      <c r="J181" s="251">
        <v>0</v>
      </c>
      <c r="K181" s="255">
        <v>0</v>
      </c>
      <c r="L181" s="436"/>
    </row>
    <row r="182" spans="3:12" x14ac:dyDescent="0.2">
      <c r="C182" s="1206" t="s">
        <v>1649</v>
      </c>
      <c r="D182" s="1210" t="str">
        <f>VLOOKUP(C182,'Valor Materiales'!B:E,2,0)</f>
        <v>Subbase Seleccionada tipo El Faro - INVIAS</v>
      </c>
      <c r="E182" s="1211" t="str">
        <f>VLOOKUP(C182,'Valor Materiales'!B:E,3,0)</f>
        <v>M3</v>
      </c>
      <c r="F182" s="254">
        <f>VLOOKUP(C182,'Valor Materiales'!B:E,4,0)</f>
        <v>40000</v>
      </c>
      <c r="G182" s="257">
        <v>1.339</v>
      </c>
      <c r="H182" s="253">
        <v>0</v>
      </c>
      <c r="I182" s="254">
        <f>+G182*F182</f>
        <v>53560</v>
      </c>
      <c r="J182" s="258">
        <v>0</v>
      </c>
      <c r="K182" s="259">
        <v>0</v>
      </c>
      <c r="L182" s="436"/>
    </row>
    <row r="183" spans="3:12" x14ac:dyDescent="0.2">
      <c r="C183" s="1206" t="s">
        <v>1325</v>
      </c>
      <c r="D183" s="1210" t="str">
        <f>VLOOKUP(C183,'Valor Materiales'!B:E,2,0)</f>
        <v>Ensayo de Granulometría de Material para Relleno</v>
      </c>
      <c r="E183" s="1211" t="str">
        <f>VLOOKUP(C183,'Valor Materiales'!B:E,3,0)</f>
        <v>Un</v>
      </c>
      <c r="F183" s="254">
        <f>VLOOKUP(C183,'Valor Materiales'!B:E,4,0)</f>
        <v>30000</v>
      </c>
      <c r="G183" s="257">
        <v>0.01</v>
      </c>
      <c r="H183" s="250">
        <v>0</v>
      </c>
      <c r="I183" s="254">
        <v>0</v>
      </c>
      <c r="J183" s="258">
        <v>0</v>
      </c>
      <c r="K183" s="259">
        <f>+G183*F183</f>
        <v>300</v>
      </c>
      <c r="L183" s="436"/>
    </row>
    <row r="184" spans="3:12" x14ac:dyDescent="0.2">
      <c r="C184" s="1206" t="s">
        <v>1326</v>
      </c>
      <c r="D184" s="1210" t="str">
        <f>VLOOKUP(C184,'Valor Materiales'!B:E,2,0)</f>
        <v>Ensayo de Próctor Modificado para Material de Relleno</v>
      </c>
      <c r="E184" s="1211" t="str">
        <f>VLOOKUP(C184,'Valor Materiales'!B:E,3,0)</f>
        <v>Un</v>
      </c>
      <c r="F184" s="254">
        <f>VLOOKUP(C184,'Valor Materiales'!B:E,4,0)</f>
        <v>45000</v>
      </c>
      <c r="G184" s="257">
        <v>0.01</v>
      </c>
      <c r="H184" s="253">
        <v>0</v>
      </c>
      <c r="I184" s="254">
        <v>0</v>
      </c>
      <c r="J184" s="258">
        <v>0</v>
      </c>
      <c r="K184" s="259">
        <f>+G184*F184</f>
        <v>450</v>
      </c>
      <c r="L184" s="436"/>
    </row>
    <row r="185" spans="3:12" x14ac:dyDescent="0.2">
      <c r="C185" s="1206" t="s">
        <v>1329</v>
      </c>
      <c r="D185" s="1210" t="str">
        <f>VLOOKUP(C185,'Valor Materiales'!B:E,2,0)</f>
        <v>Ensayo de Desgaste en Máquina de los Angeles</v>
      </c>
      <c r="E185" s="1211" t="str">
        <f>VLOOKUP(C185,'Valor Materiales'!B:E,3,0)</f>
        <v>Un</v>
      </c>
      <c r="F185" s="254">
        <f>VLOOKUP(C185,'Valor Materiales'!B:E,4,0)</f>
        <v>45000</v>
      </c>
      <c r="G185" s="257">
        <v>0.01</v>
      </c>
      <c r="H185" s="250">
        <v>0</v>
      </c>
      <c r="I185" s="254">
        <v>0</v>
      </c>
      <c r="J185" s="258">
        <v>0</v>
      </c>
      <c r="K185" s="259">
        <f>+G185*F185</f>
        <v>450</v>
      </c>
      <c r="L185" s="436"/>
    </row>
    <row r="186" spans="3:12" x14ac:dyDescent="0.2">
      <c r="C186" s="1206" t="s">
        <v>1330</v>
      </c>
      <c r="D186" s="1210" t="str">
        <f>VLOOKUP(C186,'Valor Materiales'!B:E,2,0)</f>
        <v>Ensayo de Límites de Atterberg</v>
      </c>
      <c r="E186" s="1211" t="str">
        <f>VLOOKUP(C186,'Valor Materiales'!B:E,3,0)</f>
        <v>Un</v>
      </c>
      <c r="F186" s="254">
        <f>VLOOKUP(C186,'Valor Materiales'!B:E,4,0)</f>
        <v>20000</v>
      </c>
      <c r="G186" s="257">
        <v>0.01</v>
      </c>
      <c r="H186" s="253">
        <v>0</v>
      </c>
      <c r="I186" s="254">
        <v>0</v>
      </c>
      <c r="J186" s="254">
        <v>0</v>
      </c>
      <c r="K186" s="259">
        <f>+G186*F186</f>
        <v>200</v>
      </c>
    </row>
    <row r="187" spans="3:12" x14ac:dyDescent="0.2">
      <c r="C187" s="1206" t="s">
        <v>1328</v>
      </c>
      <c r="D187" s="1210" t="str">
        <f>VLOOKUP(C187,'Valor Materiales'!B:E,2,0)</f>
        <v>Ensayo de Densidad en campo p/Compactación de Relleno</v>
      </c>
      <c r="E187" s="1211" t="str">
        <f>VLOOKUP(C187,'Valor Materiales'!B:E,3,0)</f>
        <v>Un</v>
      </c>
      <c r="F187" s="254">
        <f>VLOOKUP(C187,'Valor Materiales'!B:E,4,0)</f>
        <v>20000</v>
      </c>
      <c r="G187" s="257">
        <v>0.125</v>
      </c>
      <c r="H187" s="253">
        <v>0</v>
      </c>
      <c r="I187" s="254">
        <v>0</v>
      </c>
      <c r="J187" s="254">
        <v>0</v>
      </c>
      <c r="K187" s="259">
        <f>+G187*F187</f>
        <v>2500</v>
      </c>
    </row>
    <row r="188" spans="3:12" ht="13.5" thickBot="1" x14ac:dyDescent="0.25">
      <c r="C188" s="1208" t="s">
        <v>1605</v>
      </c>
      <c r="D188" s="1213" t="str">
        <f>VLOOKUP(C188,'Valor Materiales'!B:E,2,0)</f>
        <v>Cuadrilla tipo IX - Construcción Subdrenes, Sub-bases y Bases</v>
      </c>
      <c r="E188" s="1214" t="str">
        <f>VLOOKUP(C188,'Valor Materiales'!B:E,3,0)</f>
        <v>Hr</v>
      </c>
      <c r="F188" s="261">
        <f>VLOOKUP(C188,'Valor Materiales'!B:E,4,0)</f>
        <v>35780.0625</v>
      </c>
      <c r="G188" s="262">
        <v>0.37119999999999997</v>
      </c>
      <c r="H188" s="263">
        <v>0</v>
      </c>
      <c r="I188" s="261">
        <v>0</v>
      </c>
      <c r="J188" s="268">
        <f>+G188*F188</f>
        <v>13281.5592</v>
      </c>
      <c r="K188" s="264">
        <v>0</v>
      </c>
    </row>
    <row r="189" spans="3:12" ht="13.5" thickBot="1" x14ac:dyDescent="0.25">
      <c r="F189" s="266"/>
      <c r="H189" s="267">
        <f>SUM(H180:H188)</f>
        <v>3023</v>
      </c>
      <c r="I189" s="267">
        <f>SUM(I180:I188)</f>
        <v>53560</v>
      </c>
      <c r="J189" s="267">
        <f>SUM(J180:J188)</f>
        <v>13281.5592</v>
      </c>
      <c r="K189" s="267">
        <f>SUM(K180:K188)</f>
        <v>3900</v>
      </c>
    </row>
    <row r="190" spans="3:12" x14ac:dyDescent="0.2">
      <c r="F190" s="266"/>
      <c r="H190" s="1209"/>
      <c r="I190" s="1209"/>
      <c r="J190" s="1209"/>
      <c r="K190" s="1209"/>
    </row>
    <row r="191" spans="3:12" ht="13.5" thickBot="1" x14ac:dyDescent="0.25">
      <c r="F191" s="266"/>
    </row>
    <row r="192" spans="3:12" s="436" customFormat="1" ht="13.5" thickBot="1" x14ac:dyDescent="0.25">
      <c r="C192" s="1721" t="s">
        <v>2417</v>
      </c>
      <c r="D192" s="1722"/>
      <c r="E192" s="1722"/>
      <c r="F192" s="1722"/>
      <c r="G192" s="1722"/>
      <c r="H192" s="1722"/>
      <c r="I192" s="1722"/>
      <c r="J192" s="1722"/>
      <c r="K192" s="1723"/>
      <c r="L192" s="159"/>
    </row>
    <row r="193" spans="3:12" s="436" customFormat="1" ht="13.5" thickBot="1" x14ac:dyDescent="0.25">
      <c r="C193" s="1231"/>
      <c r="E193" s="1231"/>
      <c r="F193" s="733"/>
      <c r="G193" s="734"/>
      <c r="H193" s="733"/>
      <c r="I193" s="733"/>
      <c r="J193" s="733"/>
      <c r="K193" s="733"/>
      <c r="L193" s="159"/>
    </row>
    <row r="194" spans="3:12" s="436" customFormat="1" ht="13.5" thickBot="1" x14ac:dyDescent="0.25">
      <c r="C194" s="1215" t="s">
        <v>1518</v>
      </c>
      <c r="D194" s="1216" t="s">
        <v>1519</v>
      </c>
      <c r="E194" s="1215" t="s">
        <v>931</v>
      </c>
      <c r="F194" s="737" t="s">
        <v>1532</v>
      </c>
      <c r="G194" s="734"/>
      <c r="H194" s="462" t="s">
        <v>1523</v>
      </c>
      <c r="I194" s="460" t="s">
        <v>1524</v>
      </c>
      <c r="J194" s="463" t="s">
        <v>1525</v>
      </c>
      <c r="K194" s="464" t="s">
        <v>1526</v>
      </c>
      <c r="L194" s="159"/>
    </row>
    <row r="195" spans="3:12" s="436" customFormat="1" ht="15" thickBot="1" x14ac:dyDescent="0.25">
      <c r="C195" s="1222" t="s">
        <v>2418</v>
      </c>
      <c r="D195" s="1242" t="s">
        <v>2419</v>
      </c>
      <c r="E195" s="1222" t="s">
        <v>1265</v>
      </c>
      <c r="F195" s="738">
        <f>SUM(H203:K203,0)</f>
        <v>16907.105701749999</v>
      </c>
      <c r="G195" s="734"/>
      <c r="H195" s="741">
        <f>+H203</f>
        <v>1445.9962</v>
      </c>
      <c r="I195" s="472">
        <f>+I203</f>
        <v>9733.027392</v>
      </c>
      <c r="J195" s="472">
        <f>+J203</f>
        <v>5728.0821097500011</v>
      </c>
      <c r="K195" s="742">
        <f>+K203</f>
        <v>0</v>
      </c>
      <c r="L195" s="159"/>
    </row>
    <row r="196" spans="3:12" s="436" customFormat="1" ht="13.5" thickBot="1" x14ac:dyDescent="0.25">
      <c r="C196" s="449" t="s">
        <v>1521</v>
      </c>
      <c r="D196" s="450" t="s">
        <v>930</v>
      </c>
      <c r="E196" s="451" t="s">
        <v>931</v>
      </c>
      <c r="F196" s="452" t="s">
        <v>1522</v>
      </c>
      <c r="G196" s="453" t="s">
        <v>932</v>
      </c>
      <c r="H196" s="454" t="s">
        <v>1523</v>
      </c>
      <c r="I196" s="452" t="s">
        <v>1524</v>
      </c>
      <c r="J196" s="455" t="s">
        <v>1525</v>
      </c>
      <c r="K196" s="456" t="s">
        <v>1526</v>
      </c>
      <c r="L196" s="159"/>
    </row>
    <row r="197" spans="3:12" s="436" customFormat="1" x14ac:dyDescent="0.2">
      <c r="C197" s="440" t="s">
        <v>1619</v>
      </c>
      <c r="D197" s="441" t="s">
        <v>1528</v>
      </c>
      <c r="E197" s="442" t="s">
        <v>905</v>
      </c>
      <c r="F197" s="254">
        <f>VLOOKUP(C197,'Valor Materiales'!B:E,4,0)</f>
        <v>902</v>
      </c>
      <c r="G197" s="441">
        <v>1.5455000000000001</v>
      </c>
      <c r="H197" s="466">
        <f>+ROUND(F197*G197,0)</f>
        <v>1394</v>
      </c>
      <c r="I197" s="443">
        <v>0</v>
      </c>
      <c r="J197" s="443">
        <v>0</v>
      </c>
      <c r="K197" s="445">
        <v>0</v>
      </c>
      <c r="L197" s="159"/>
    </row>
    <row r="198" spans="3:12" s="436" customFormat="1" x14ac:dyDescent="0.2">
      <c r="C198" s="469" t="s">
        <v>1362</v>
      </c>
      <c r="D198" s="446" t="s">
        <v>1689</v>
      </c>
      <c r="E198" s="1229" t="s">
        <v>905</v>
      </c>
      <c r="F198" s="254">
        <f>VLOOKUP(C198,'Valor Materiales'!B:E,4,0)</f>
        <v>16820</v>
      </c>
      <c r="G198" s="446">
        <v>0.44</v>
      </c>
      <c r="H198" s="739">
        <v>0</v>
      </c>
      <c r="I198" s="447">
        <f>+G198*F198</f>
        <v>7400.8</v>
      </c>
      <c r="J198" s="447">
        <v>0</v>
      </c>
      <c r="K198" s="740">
        <v>0</v>
      </c>
      <c r="L198" s="159"/>
    </row>
    <row r="199" spans="3:12" s="436" customFormat="1" x14ac:dyDescent="0.2">
      <c r="C199" s="1243" t="s">
        <v>1366</v>
      </c>
      <c r="D199" s="446" t="s">
        <v>1693</v>
      </c>
      <c r="E199" s="1229" t="s">
        <v>905</v>
      </c>
      <c r="F199" s="254">
        <f>VLOOKUP(C199,'Valor Materiales'!B:E,4,0)</f>
        <v>2552</v>
      </c>
      <c r="G199" s="1244">
        <v>0.44</v>
      </c>
      <c r="H199" s="1223">
        <v>0</v>
      </c>
      <c r="I199" s="447">
        <f>+G199*F199</f>
        <v>1122.8800000000001</v>
      </c>
      <c r="J199" s="1224">
        <v>0</v>
      </c>
      <c r="K199" s="1225">
        <v>0</v>
      </c>
      <c r="L199" s="159"/>
    </row>
    <row r="200" spans="3:12" s="436" customFormat="1" x14ac:dyDescent="0.2">
      <c r="C200" s="1243" t="s">
        <v>1365</v>
      </c>
      <c r="D200" s="446" t="s">
        <v>1692</v>
      </c>
      <c r="E200" s="1229" t="s">
        <v>905</v>
      </c>
      <c r="F200" s="254">
        <f>VLOOKUP(C200,'Valor Materiales'!B:E,4,0)</f>
        <v>1624</v>
      </c>
      <c r="G200" s="1244">
        <v>0.44</v>
      </c>
      <c r="H200" s="1223">
        <v>0</v>
      </c>
      <c r="I200" s="447">
        <f>+G200*F200</f>
        <v>714.56000000000006</v>
      </c>
      <c r="J200" s="1224">
        <v>0</v>
      </c>
      <c r="K200" s="1225">
        <v>0</v>
      </c>
      <c r="L200" s="159"/>
    </row>
    <row r="201" spans="3:12" s="436" customFormat="1" x14ac:dyDescent="0.2">
      <c r="C201" s="1243" t="s">
        <v>1373</v>
      </c>
      <c r="D201" s="446" t="s">
        <v>1700</v>
      </c>
      <c r="E201" s="1229" t="s">
        <v>1701</v>
      </c>
      <c r="F201" s="254">
        <f>VLOOKUP(C201,'Valor Materiales'!B:E,4,0)</f>
        <v>1600</v>
      </c>
      <c r="G201" s="1244">
        <v>9.0499999999999997E-2</v>
      </c>
      <c r="H201" s="1223">
        <v>0</v>
      </c>
      <c r="I201" s="447">
        <f>+G201*F201</f>
        <v>144.79999999999998</v>
      </c>
      <c r="J201" s="1224">
        <v>0</v>
      </c>
      <c r="K201" s="1225">
        <v>0</v>
      </c>
      <c r="L201" s="159"/>
    </row>
    <row r="202" spans="3:12" s="436" customFormat="1" ht="13.5" thickBot="1" x14ac:dyDescent="0.25">
      <c r="C202" s="471" t="s">
        <v>1598</v>
      </c>
      <c r="D202" s="439" t="s">
        <v>1584</v>
      </c>
      <c r="E202" s="1230" t="s">
        <v>1583</v>
      </c>
      <c r="F202" s="261">
        <f>VLOOKUP(C202,'Valor Materiales'!B:E,4,0)</f>
        <v>23008.78125</v>
      </c>
      <c r="G202" s="439">
        <v>0.24</v>
      </c>
      <c r="H202" s="741">
        <v>0</v>
      </c>
      <c r="I202" s="472">
        <v>0</v>
      </c>
      <c r="J202" s="472">
        <f>+G202*F202</f>
        <v>5522.1075000000001</v>
      </c>
      <c r="K202" s="742">
        <v>0</v>
      </c>
      <c r="L202" s="159"/>
    </row>
    <row r="203" spans="3:12" s="436" customFormat="1" ht="13.5" thickBot="1" x14ac:dyDescent="0.25">
      <c r="C203" s="1231"/>
      <c r="E203" s="1231"/>
      <c r="F203" s="733"/>
      <c r="G203" s="734"/>
      <c r="H203" s="735">
        <f>SUM(H197:H202)*1.0373</f>
        <v>1445.9962</v>
      </c>
      <c r="I203" s="1245">
        <f>SUM(I197:I202)*1.0373</f>
        <v>9733.027392</v>
      </c>
      <c r="J203" s="1245">
        <f>SUM(J197:J202)*1.0373</f>
        <v>5728.0821097500011</v>
      </c>
      <c r="K203" s="1246">
        <f>SUM(K197:K202)</f>
        <v>0</v>
      </c>
      <c r="L203" s="159"/>
    </row>
    <row r="204" spans="3:12" s="436" customFormat="1" ht="13.5" thickBot="1" x14ac:dyDescent="0.25">
      <c r="C204" s="1231"/>
      <c r="E204" s="1231"/>
      <c r="F204" s="733"/>
      <c r="G204" s="734"/>
      <c r="H204" s="733"/>
      <c r="I204" s="733"/>
      <c r="J204" s="733"/>
      <c r="K204" s="733"/>
      <c r="L204" s="159"/>
    </row>
    <row r="205" spans="3:12" s="436" customFormat="1" ht="13.5" thickBot="1" x14ac:dyDescent="0.25">
      <c r="C205" s="1215" t="s">
        <v>1518</v>
      </c>
      <c r="D205" s="1216" t="s">
        <v>1519</v>
      </c>
      <c r="E205" s="1215" t="s">
        <v>931</v>
      </c>
      <c r="F205" s="737" t="s">
        <v>1532</v>
      </c>
      <c r="G205" s="734"/>
      <c r="H205" s="462" t="s">
        <v>1523</v>
      </c>
      <c r="I205" s="460" t="s">
        <v>1524</v>
      </c>
      <c r="J205" s="463" t="s">
        <v>1525</v>
      </c>
      <c r="K205" s="464" t="s">
        <v>1526</v>
      </c>
      <c r="L205" s="159"/>
    </row>
    <row r="206" spans="3:12" s="436" customFormat="1" ht="15" thickBot="1" x14ac:dyDescent="0.25">
      <c r="C206" s="1222" t="s">
        <v>2420</v>
      </c>
      <c r="D206" s="1242" t="s">
        <v>2416</v>
      </c>
      <c r="E206" s="1222" t="s">
        <v>904</v>
      </c>
      <c r="F206" s="738">
        <f>SUM(H214:K214,0)</f>
        <v>19250.261050968751</v>
      </c>
      <c r="G206" s="734"/>
      <c r="H206" s="741">
        <f>+H214</f>
        <v>4958.2940000000008</v>
      </c>
      <c r="I206" s="472">
        <f>+I214</f>
        <v>11982.8896</v>
      </c>
      <c r="J206" s="472">
        <f>+J214</f>
        <v>2309.0774509687499</v>
      </c>
      <c r="K206" s="742">
        <f>+K214</f>
        <v>0</v>
      </c>
      <c r="L206" s="159"/>
    </row>
    <row r="207" spans="3:12" s="436" customFormat="1" ht="13.5" thickBot="1" x14ac:dyDescent="0.25">
      <c r="C207" s="457" t="s">
        <v>1521</v>
      </c>
      <c r="D207" s="458" t="s">
        <v>930</v>
      </c>
      <c r="E207" s="459" t="s">
        <v>931</v>
      </c>
      <c r="F207" s="460" t="s">
        <v>1522</v>
      </c>
      <c r="G207" s="461" t="s">
        <v>932</v>
      </c>
      <c r="H207" s="462" t="s">
        <v>1523</v>
      </c>
      <c r="I207" s="460" t="s">
        <v>1524</v>
      </c>
      <c r="J207" s="463" t="s">
        <v>1525</v>
      </c>
      <c r="K207" s="464" t="s">
        <v>1526</v>
      </c>
      <c r="L207" s="159"/>
    </row>
    <row r="208" spans="3:12" s="436" customFormat="1" x14ac:dyDescent="0.2">
      <c r="C208" s="440" t="s">
        <v>1619</v>
      </c>
      <c r="D208" s="444" t="s">
        <v>1528</v>
      </c>
      <c r="E208" s="440" t="s">
        <v>905</v>
      </c>
      <c r="F208" s="443">
        <v>902</v>
      </c>
      <c r="G208" s="467">
        <v>2</v>
      </c>
      <c r="H208" s="443">
        <f>+ROUND(F208*G208,0)</f>
        <v>1804</v>
      </c>
      <c r="I208" s="443">
        <v>0</v>
      </c>
      <c r="J208" s="443">
        <v>0</v>
      </c>
      <c r="K208" s="445">
        <v>0</v>
      </c>
      <c r="L208" s="159"/>
    </row>
    <row r="209" spans="3:12" s="436" customFormat="1" x14ac:dyDescent="0.2">
      <c r="C209" s="469" t="s">
        <v>1338</v>
      </c>
      <c r="D209" s="468" t="s">
        <v>2076</v>
      </c>
      <c r="E209" s="469" t="s">
        <v>914</v>
      </c>
      <c r="F209" s="447">
        <v>186</v>
      </c>
      <c r="G209" s="757">
        <v>16</v>
      </c>
      <c r="H209" s="447">
        <f>+F209*G209</f>
        <v>2976</v>
      </c>
      <c r="I209" s="447">
        <v>0</v>
      </c>
      <c r="J209" s="447">
        <v>0</v>
      </c>
      <c r="K209" s="740">
        <v>0</v>
      </c>
      <c r="L209" s="159"/>
    </row>
    <row r="210" spans="3:12" s="436" customFormat="1" x14ac:dyDescent="0.2">
      <c r="C210" s="469" t="s">
        <v>1366</v>
      </c>
      <c r="D210" s="468" t="s">
        <v>1693</v>
      </c>
      <c r="E210" s="469" t="s">
        <v>905</v>
      </c>
      <c r="F210" s="447">
        <v>2552</v>
      </c>
      <c r="G210" s="757">
        <v>2</v>
      </c>
      <c r="H210" s="447">
        <v>0</v>
      </c>
      <c r="I210" s="447">
        <f>+G210*F210</f>
        <v>5104</v>
      </c>
      <c r="J210" s="447">
        <v>0</v>
      </c>
      <c r="K210" s="740">
        <v>0</v>
      </c>
      <c r="L210" s="159"/>
    </row>
    <row r="211" spans="3:12" s="436" customFormat="1" x14ac:dyDescent="0.2">
      <c r="C211" s="469" t="s">
        <v>1365</v>
      </c>
      <c r="D211" s="468" t="s">
        <v>1692</v>
      </c>
      <c r="E211" s="469" t="s">
        <v>905</v>
      </c>
      <c r="F211" s="447">
        <v>1624</v>
      </c>
      <c r="G211" s="757">
        <v>2</v>
      </c>
      <c r="H211" s="447">
        <v>0</v>
      </c>
      <c r="I211" s="447">
        <f>+G211*F211</f>
        <v>3248</v>
      </c>
      <c r="J211" s="447">
        <v>0</v>
      </c>
      <c r="K211" s="740">
        <v>0</v>
      </c>
      <c r="L211" s="159"/>
    </row>
    <row r="212" spans="3:12" s="436" customFormat="1" x14ac:dyDescent="0.2">
      <c r="C212" s="469" t="s">
        <v>1373</v>
      </c>
      <c r="D212" s="468" t="s">
        <v>1700</v>
      </c>
      <c r="E212" s="469" t="s">
        <v>1701</v>
      </c>
      <c r="F212" s="447">
        <v>1600</v>
      </c>
      <c r="G212" s="757">
        <v>2</v>
      </c>
      <c r="H212" s="447">
        <v>0</v>
      </c>
      <c r="I212" s="447">
        <f>+G212*F212</f>
        <v>3200</v>
      </c>
      <c r="J212" s="447">
        <v>0</v>
      </c>
      <c r="K212" s="740">
        <v>0</v>
      </c>
      <c r="L212" s="159"/>
    </row>
    <row r="213" spans="3:12" s="436" customFormat="1" ht="13.5" thickBot="1" x14ac:dyDescent="0.25">
      <c r="C213" s="471" t="s">
        <v>1598</v>
      </c>
      <c r="D213" s="470" t="s">
        <v>1584</v>
      </c>
      <c r="E213" s="471" t="s">
        <v>1583</v>
      </c>
      <c r="F213" s="472">
        <v>14840.306249999998</v>
      </c>
      <c r="G213" s="1247">
        <v>0.15</v>
      </c>
      <c r="H213" s="472">
        <v>0</v>
      </c>
      <c r="I213" s="472">
        <v>0</v>
      </c>
      <c r="J213" s="472">
        <f>+G213*F213</f>
        <v>2226.0459374999996</v>
      </c>
      <c r="K213" s="742">
        <v>0</v>
      </c>
      <c r="L213" s="159"/>
    </row>
    <row r="214" spans="3:12" s="436" customFormat="1" ht="13.5" thickBot="1" x14ac:dyDescent="0.25">
      <c r="C214" s="1231"/>
      <c r="E214" s="1231"/>
      <c r="F214" s="733"/>
      <c r="G214" s="734"/>
      <c r="H214" s="735">
        <f>SUM(H208:H213)*1.0373</f>
        <v>4958.2940000000008</v>
      </c>
      <c r="I214" s="1245">
        <f>SUM(I208:I213)*1.0373</f>
        <v>11982.8896</v>
      </c>
      <c r="J214" s="1245">
        <f>SUM(J208:J213)*1.0373</f>
        <v>2309.0774509687499</v>
      </c>
      <c r="K214" s="1246">
        <f>SUM(K208:K213)</f>
        <v>0</v>
      </c>
      <c r="L214" s="159"/>
    </row>
    <row r="215" spans="3:12" s="436" customFormat="1" x14ac:dyDescent="0.2">
      <c r="C215" s="1231"/>
      <c r="E215" s="1231"/>
      <c r="F215" s="736"/>
      <c r="G215" s="734"/>
      <c r="H215" s="733"/>
      <c r="I215" s="733"/>
      <c r="J215" s="733"/>
      <c r="K215" s="733"/>
      <c r="L215" s="159"/>
    </row>
    <row r="216" spans="3:12" s="734" customFormat="1" ht="15" thickBot="1" x14ac:dyDescent="0.25">
      <c r="C216" s="448"/>
      <c r="D216" s="1068"/>
      <c r="E216" s="448"/>
      <c r="F216" s="1069"/>
      <c r="G216" s="1067"/>
      <c r="H216" s="736"/>
      <c r="I216" s="736"/>
      <c r="J216" s="736"/>
      <c r="K216" s="736"/>
      <c r="L216" s="159"/>
    </row>
    <row r="217" spans="3:12" ht="13.5" thickBot="1" x14ac:dyDescent="0.25">
      <c r="C217" s="1715" t="s">
        <v>2735</v>
      </c>
      <c r="D217" s="1716"/>
      <c r="E217" s="1716"/>
      <c r="F217" s="1716"/>
      <c r="G217" s="1716"/>
      <c r="H217" s="1716"/>
      <c r="I217" s="1716"/>
      <c r="J217" s="1716"/>
      <c r="K217" s="1717"/>
    </row>
    <row r="218" spans="3:12" ht="13.5" thickBot="1" x14ac:dyDescent="0.25"/>
    <row r="219" spans="3:12" s="993" customFormat="1" ht="13.5" thickBot="1" x14ac:dyDescent="0.25">
      <c r="C219" s="1022" t="s">
        <v>1518</v>
      </c>
      <c r="D219" s="1023" t="s">
        <v>1519</v>
      </c>
      <c r="E219" s="1022" t="s">
        <v>931</v>
      </c>
      <c r="F219" s="1024" t="s">
        <v>1532</v>
      </c>
      <c r="G219" s="953"/>
      <c r="H219" s="954" t="s">
        <v>1523</v>
      </c>
      <c r="I219" s="955" t="s">
        <v>1524</v>
      </c>
      <c r="J219" s="956" t="s">
        <v>1525</v>
      </c>
      <c r="K219" s="957" t="s">
        <v>1526</v>
      </c>
      <c r="L219" s="159"/>
    </row>
    <row r="220" spans="3:12" s="993" customFormat="1" ht="39" thickBot="1" x14ac:dyDescent="0.25">
      <c r="C220" s="1248" t="s">
        <v>2393</v>
      </c>
      <c r="D220" s="1249" t="s">
        <v>2734</v>
      </c>
      <c r="E220" s="1250" t="s">
        <v>2327</v>
      </c>
      <c r="F220" s="1251">
        <f>SUM(H227:K227,0)</f>
        <v>35536.228937500004</v>
      </c>
      <c r="G220" s="1252"/>
      <c r="H220" s="1062">
        <f>SUM(H222:H226)</f>
        <v>123</v>
      </c>
      <c r="I220" s="1062">
        <f t="shared" ref="I220:K220" si="9">SUM(I222:I226)</f>
        <v>27728.296000000002</v>
      </c>
      <c r="J220" s="1062">
        <f t="shared" si="9"/>
        <v>7684.9329375000007</v>
      </c>
      <c r="K220" s="1062">
        <f t="shared" si="9"/>
        <v>0</v>
      </c>
      <c r="L220" s="159"/>
    </row>
    <row r="221" spans="3:12" s="993" customFormat="1" ht="13.5" thickBot="1" x14ac:dyDescent="0.25">
      <c r="C221" s="964" t="s">
        <v>1521</v>
      </c>
      <c r="D221" s="965" t="s">
        <v>930</v>
      </c>
      <c r="E221" s="966" t="s">
        <v>931</v>
      </c>
      <c r="F221" s="967" t="s">
        <v>1522</v>
      </c>
      <c r="G221" s="968" t="s">
        <v>932</v>
      </c>
      <c r="H221" s="1025" t="s">
        <v>1523</v>
      </c>
      <c r="I221" s="1026" t="s">
        <v>1524</v>
      </c>
      <c r="J221" s="1027" t="s">
        <v>1525</v>
      </c>
      <c r="K221" s="1028" t="s">
        <v>1526</v>
      </c>
      <c r="L221" s="159"/>
    </row>
    <row r="222" spans="3:12" s="993" customFormat="1" x14ac:dyDescent="0.2">
      <c r="C222" s="972" t="s">
        <v>1619</v>
      </c>
      <c r="D222" s="1238" t="str">
        <f>VLOOKUP(C222,'Valor Materiales'!B:E,2,0)</f>
        <v>Herramienta Menor General</v>
      </c>
      <c r="E222" s="974" t="str">
        <f>VLOOKUP(C222,'Valor Materiales'!B:E,3,0)</f>
        <v>Un</v>
      </c>
      <c r="F222" s="244">
        <f>VLOOKUP(C222,'Valor Materiales'!B:E,4,0)</f>
        <v>902</v>
      </c>
      <c r="G222" s="1002">
        <v>0.13600000000000001</v>
      </c>
      <c r="H222" s="1009">
        <f>+ROUND(F222*G222,0)</f>
        <v>123</v>
      </c>
      <c r="I222" s="975">
        <v>0</v>
      </c>
      <c r="J222" s="975">
        <v>0</v>
      </c>
      <c r="K222" s="977">
        <v>0</v>
      </c>
      <c r="L222" s="159"/>
    </row>
    <row r="223" spans="3:12" s="993" customFormat="1" x14ac:dyDescent="0.2">
      <c r="C223" s="1010" t="s">
        <v>1080</v>
      </c>
      <c r="D223" s="1253" t="str">
        <f>VLOOKUP(C223,'Valor Materiales'!B:E,2,0)</f>
        <v>Tubería Pvc Novafort o similar 160 m.m. (6")</v>
      </c>
      <c r="E223" s="980" t="str">
        <f>VLOOKUP(C223,'Valor Materiales'!B:E,3,0)</f>
        <v>Ml</v>
      </c>
      <c r="F223" s="254">
        <f>VLOOKUP(C223,'Valor Materiales'!B:E,4,0)</f>
        <v>26386</v>
      </c>
      <c r="G223" s="1014">
        <v>1.03</v>
      </c>
      <c r="H223" s="982">
        <v>0</v>
      </c>
      <c r="I223" s="1015">
        <f>+G223*F223</f>
        <v>27177.58</v>
      </c>
      <c r="J223" s="987">
        <v>0</v>
      </c>
      <c r="K223" s="988">
        <v>0</v>
      </c>
      <c r="L223" s="159"/>
    </row>
    <row r="224" spans="3:12" s="993" customFormat="1" x14ac:dyDescent="0.2">
      <c r="C224" s="984" t="s">
        <v>1376</v>
      </c>
      <c r="D224" s="1253" t="str">
        <f>VLOOKUP(C224,'Valor Materiales'!B:E,2,0)</f>
        <v>Teja de Zinc No. 8</v>
      </c>
      <c r="E224" s="980" t="str">
        <f>VLOOKUP(C224,'Valor Materiales'!B:E,3,0)</f>
        <v>Un</v>
      </c>
      <c r="F224" s="254">
        <f>VLOOKUP(C224,'Valor Materiales'!B:E,4,0)</f>
        <v>16500</v>
      </c>
      <c r="G224" s="1018">
        <v>0.01</v>
      </c>
      <c r="H224" s="982">
        <v>0</v>
      </c>
      <c r="I224" s="981">
        <f>+G224*F224</f>
        <v>165</v>
      </c>
      <c r="J224" s="987">
        <v>0</v>
      </c>
      <c r="K224" s="988">
        <v>0</v>
      </c>
      <c r="L224" s="159"/>
    </row>
    <row r="225" spans="2:12" s="993" customFormat="1" x14ac:dyDescent="0.2">
      <c r="B225" s="1020"/>
      <c r="C225" s="984" t="s">
        <v>1125</v>
      </c>
      <c r="D225" s="1253" t="str">
        <f>VLOOKUP(C225,'Valor Materiales'!B:E,2,0)</f>
        <v>Adhesivo Novafort o similar</v>
      </c>
      <c r="E225" s="980" t="str">
        <f>VLOOKUP(C225,'Valor Materiales'!B:E,3,0)</f>
        <v>Un</v>
      </c>
      <c r="F225" s="254">
        <f>VLOOKUP(C225,'Valor Materiales'!B:E,4,0)</f>
        <v>32143</v>
      </c>
      <c r="G225" s="1018">
        <v>1.2E-2</v>
      </c>
      <c r="H225" s="982">
        <v>0</v>
      </c>
      <c r="I225" s="981">
        <f>+G225*F225</f>
        <v>385.71600000000001</v>
      </c>
      <c r="J225" s="987">
        <v>0</v>
      </c>
      <c r="K225" s="988">
        <v>0</v>
      </c>
      <c r="L225" s="159"/>
    </row>
    <row r="226" spans="2:12" s="993" customFormat="1" ht="13.5" thickBot="1" x14ac:dyDescent="0.25">
      <c r="C226" s="989" t="s">
        <v>1598</v>
      </c>
      <c r="D226" s="1240" t="str">
        <f>VLOOKUP(C226,'Valor Materiales'!B:E,2,0)</f>
        <v>Cuadrilla tipo II (1of + 2ay)</v>
      </c>
      <c r="E226" s="991" t="str">
        <f>VLOOKUP(C226,'Valor Materiales'!B:E,3,0)</f>
        <v>Hr</v>
      </c>
      <c r="F226" s="261">
        <f>VLOOKUP(C226,'Valor Materiales'!B:E,4,0)</f>
        <v>23008.78125</v>
      </c>
      <c r="G226" s="1006">
        <v>0.33400000000000002</v>
      </c>
      <c r="H226" s="961">
        <v>0</v>
      </c>
      <c r="I226" s="962">
        <v>0</v>
      </c>
      <c r="J226" s="962">
        <f>+G226*F226</f>
        <v>7684.9329375000007</v>
      </c>
      <c r="K226" s="963">
        <v>0</v>
      </c>
      <c r="L226" s="159"/>
    </row>
    <row r="227" spans="2:12" s="993" customFormat="1" ht="15.75" thickBot="1" x14ac:dyDescent="0.3">
      <c r="C227" s="1021"/>
      <c r="D227" s="953"/>
      <c r="E227" s="1021"/>
      <c r="F227" s="1008"/>
      <c r="G227" s="953"/>
      <c r="H227" s="995">
        <f>SUM(H222:H226)</f>
        <v>123</v>
      </c>
      <c r="I227" s="995">
        <f t="shared" ref="I227:L227" si="10">SUM(I222:I226)</f>
        <v>27728.296000000002</v>
      </c>
      <c r="J227" s="995">
        <f t="shared" si="10"/>
        <v>7684.9329375000007</v>
      </c>
      <c r="K227" s="995">
        <f t="shared" si="10"/>
        <v>0</v>
      </c>
      <c r="L227" s="743">
        <f t="shared" si="10"/>
        <v>0</v>
      </c>
    </row>
    <row r="228" spans="2:12" s="993" customFormat="1" ht="15.75" thickBot="1" x14ac:dyDescent="0.3">
      <c r="C228" s="1021"/>
      <c r="D228" s="953"/>
      <c r="E228" s="1021"/>
      <c r="F228" s="1008"/>
      <c r="G228" s="953"/>
      <c r="H228" s="1008"/>
      <c r="I228" s="1008"/>
      <c r="J228" s="1008"/>
      <c r="K228" s="1008"/>
      <c r="L228" s="743"/>
    </row>
    <row r="229" spans="2:12" s="993" customFormat="1" ht="15.75" thickBot="1" x14ac:dyDescent="0.3">
      <c r="C229" s="950" t="s">
        <v>1518</v>
      </c>
      <c r="D229" s="951" t="s">
        <v>1519</v>
      </c>
      <c r="E229" s="950" t="s">
        <v>931</v>
      </c>
      <c r="F229" s="952" t="s">
        <v>1532</v>
      </c>
      <c r="G229" s="953"/>
      <c r="H229" s="969" t="s">
        <v>1523</v>
      </c>
      <c r="I229" s="967" t="s">
        <v>1524</v>
      </c>
      <c r="J229" s="970" t="s">
        <v>1525</v>
      </c>
      <c r="K229" s="971" t="s">
        <v>1526</v>
      </c>
      <c r="L229" s="743"/>
    </row>
    <row r="230" spans="2:12" s="993" customFormat="1" ht="39" thickBot="1" x14ac:dyDescent="0.3">
      <c r="C230" s="1248" t="s">
        <v>2394</v>
      </c>
      <c r="D230" s="1249" t="s">
        <v>2736</v>
      </c>
      <c r="E230" s="1250" t="s">
        <v>2327</v>
      </c>
      <c r="F230" s="1251">
        <f>SUM(H237:K237,0)</f>
        <v>63626.982875000002</v>
      </c>
      <c r="G230" s="1252"/>
      <c r="H230" s="1062">
        <f>+H237</f>
        <v>123</v>
      </c>
      <c r="I230" s="1062">
        <f>+I237</f>
        <v>54760.646000000001</v>
      </c>
      <c r="J230" s="1062">
        <f>+J237</f>
        <v>8743.3368750000009</v>
      </c>
      <c r="K230" s="1062">
        <f>+K237</f>
        <v>0</v>
      </c>
      <c r="L230" s="743"/>
    </row>
    <row r="231" spans="2:12" s="993" customFormat="1" ht="15.75" thickBot="1" x14ac:dyDescent="0.3">
      <c r="C231" s="964" t="s">
        <v>1521</v>
      </c>
      <c r="D231" s="965" t="s">
        <v>930</v>
      </c>
      <c r="E231" s="966" t="s">
        <v>931</v>
      </c>
      <c r="F231" s="967" t="s">
        <v>1522</v>
      </c>
      <c r="G231" s="968" t="s">
        <v>932</v>
      </c>
      <c r="H231" s="969" t="s">
        <v>1523</v>
      </c>
      <c r="I231" s="967" t="s">
        <v>1524</v>
      </c>
      <c r="J231" s="970" t="s">
        <v>1525</v>
      </c>
      <c r="K231" s="971" t="s">
        <v>1526</v>
      </c>
      <c r="L231" s="743"/>
    </row>
    <row r="232" spans="2:12" s="993" customFormat="1" x14ac:dyDescent="0.2">
      <c r="C232" s="1042" t="s">
        <v>1619</v>
      </c>
      <c r="D232" s="1046" t="str">
        <f>VLOOKUP(C232,'Valor Materiales'!B:E,2,0)</f>
        <v>Herramienta Menor General</v>
      </c>
      <c r="E232" s="972" t="s">
        <v>905</v>
      </c>
      <c r="F232" s="244">
        <f>VLOOKUP(C232,'Valor Materiales'!B:E,4,0)</f>
        <v>902</v>
      </c>
      <c r="G232" s="973">
        <v>0.13600000000000001</v>
      </c>
      <c r="H232" s="1009">
        <f>+ROUND(F232*G232,0)</f>
        <v>123</v>
      </c>
      <c r="I232" s="975">
        <v>0</v>
      </c>
      <c r="J232" s="975">
        <v>0</v>
      </c>
      <c r="K232" s="977">
        <v>0</v>
      </c>
      <c r="L232" s="436"/>
    </row>
    <row r="233" spans="2:12" s="993" customFormat="1" x14ac:dyDescent="0.2">
      <c r="C233" s="1043" t="s">
        <v>1082</v>
      </c>
      <c r="D233" s="1047" t="str">
        <f>VLOOKUP(C233,'Valor Materiales'!B:E,2,0)</f>
        <v>Tubería Pvc Novafort o similar 250 m.m. (10")</v>
      </c>
      <c r="E233" s="1030" t="s">
        <v>1265</v>
      </c>
      <c r="F233" s="254">
        <f>VLOOKUP(C233,'Valor Materiales'!B:E,4,0)</f>
        <v>52631</v>
      </c>
      <c r="G233" s="1050">
        <v>1.03</v>
      </c>
      <c r="H233" s="982">
        <v>0</v>
      </c>
      <c r="I233" s="1015">
        <f>+G233*F233</f>
        <v>54209.93</v>
      </c>
      <c r="J233" s="1016">
        <v>0</v>
      </c>
      <c r="K233" s="1017">
        <v>0</v>
      </c>
      <c r="L233" s="436"/>
    </row>
    <row r="234" spans="2:12" s="993" customFormat="1" x14ac:dyDescent="0.2">
      <c r="C234" s="1044" t="s">
        <v>1376</v>
      </c>
      <c r="D234" s="1048" t="str">
        <f>VLOOKUP(C234,'Valor Materiales'!B:E,2,0)</f>
        <v>Teja de Zinc No. 8</v>
      </c>
      <c r="E234" s="978" t="s">
        <v>905</v>
      </c>
      <c r="F234" s="254">
        <f>VLOOKUP(C234,'Valor Materiales'!B:E,4,0)</f>
        <v>16500</v>
      </c>
      <c r="G234" s="1018">
        <v>0.01</v>
      </c>
      <c r="H234" s="1019">
        <v>0</v>
      </c>
      <c r="I234" s="981">
        <f>+G234*F234</f>
        <v>165</v>
      </c>
      <c r="J234" s="987">
        <v>0</v>
      </c>
      <c r="K234" s="988">
        <v>0</v>
      </c>
      <c r="L234" s="436"/>
    </row>
    <row r="235" spans="2:12" s="993" customFormat="1" x14ac:dyDescent="0.2">
      <c r="B235" s="1020"/>
      <c r="C235" s="1044" t="s">
        <v>1125</v>
      </c>
      <c r="D235" s="1047" t="str">
        <f>VLOOKUP(C235,'Valor Materiales'!B:E,2,0)</f>
        <v>Adhesivo Novafort o similar</v>
      </c>
      <c r="E235" s="978" t="s">
        <v>905</v>
      </c>
      <c r="F235" s="254">
        <f>VLOOKUP(C235,'Valor Materiales'!B:E,4,0)</f>
        <v>32143</v>
      </c>
      <c r="G235" s="1018">
        <v>1.2E-2</v>
      </c>
      <c r="H235" s="986">
        <v>0</v>
      </c>
      <c r="I235" s="981">
        <f>+G235*F235</f>
        <v>385.71600000000001</v>
      </c>
      <c r="J235" s="987">
        <v>0</v>
      </c>
      <c r="K235" s="988">
        <v>0</v>
      </c>
      <c r="L235" s="436"/>
    </row>
    <row r="236" spans="2:12" s="993" customFormat="1" ht="13.5" thickBot="1" x14ac:dyDescent="0.25">
      <c r="C236" s="1045" t="s">
        <v>1598</v>
      </c>
      <c r="D236" s="1049" t="str">
        <f>VLOOKUP(C236,'Valor Materiales'!B:E,2,0)</f>
        <v>Cuadrilla tipo II (1of + 2ay)</v>
      </c>
      <c r="E236" s="989" t="s">
        <v>1583</v>
      </c>
      <c r="F236" s="261">
        <f>VLOOKUP(C236,'Valor Materiales'!B:E,4,0)</f>
        <v>23008.78125</v>
      </c>
      <c r="G236" s="990">
        <v>0.38</v>
      </c>
      <c r="H236" s="961">
        <v>0</v>
      </c>
      <c r="I236" s="962">
        <v>0</v>
      </c>
      <c r="J236" s="962">
        <f>+G236*F236</f>
        <v>8743.3368750000009</v>
      </c>
      <c r="K236" s="963">
        <v>0</v>
      </c>
      <c r="L236" s="436"/>
    </row>
    <row r="237" spans="2:12" s="993" customFormat="1" ht="13.5" thickBot="1" x14ac:dyDescent="0.25">
      <c r="C237" s="992"/>
      <c r="E237" s="992"/>
      <c r="F237" s="994"/>
      <c r="G237" s="953"/>
      <c r="H237" s="995">
        <f>SUM(H232:H236)</f>
        <v>123</v>
      </c>
      <c r="I237" s="995">
        <f t="shared" ref="I237:J237" si="11">SUM(I232:I236)</f>
        <v>54760.646000000001</v>
      </c>
      <c r="J237" s="995">
        <f t="shared" si="11"/>
        <v>8743.3368750000009</v>
      </c>
      <c r="K237" s="995">
        <f>SUM(K232:K236)*1.0373*1.05</f>
        <v>0</v>
      </c>
      <c r="L237" s="436"/>
    </row>
    <row r="238" spans="2:12" s="993" customFormat="1" ht="13.5" thickBot="1" x14ac:dyDescent="0.25">
      <c r="C238" s="1021"/>
      <c r="D238" s="953"/>
      <c r="E238" s="1021"/>
      <c r="F238" s="1008"/>
      <c r="G238" s="953"/>
      <c r="H238" s="1008"/>
      <c r="I238" s="1008"/>
      <c r="J238" s="1008"/>
      <c r="K238" s="1008"/>
      <c r="L238" s="436"/>
    </row>
    <row r="239" spans="2:12" s="993" customFormat="1" ht="13.5" thickBot="1" x14ac:dyDescent="0.25">
      <c r="C239" s="950" t="s">
        <v>1518</v>
      </c>
      <c r="D239" s="951" t="s">
        <v>1519</v>
      </c>
      <c r="E239" s="950" t="s">
        <v>931</v>
      </c>
      <c r="F239" s="952" t="s">
        <v>1532</v>
      </c>
      <c r="G239" s="953"/>
      <c r="H239" s="969" t="s">
        <v>1523</v>
      </c>
      <c r="I239" s="967" t="s">
        <v>1524</v>
      </c>
      <c r="J239" s="970" t="s">
        <v>1525</v>
      </c>
      <c r="K239" s="971" t="s">
        <v>1526</v>
      </c>
      <c r="L239" s="436"/>
    </row>
    <row r="240" spans="2:12" s="993" customFormat="1" ht="39" thickBot="1" x14ac:dyDescent="0.25">
      <c r="C240" s="1248" t="s">
        <v>2850</v>
      </c>
      <c r="D240" s="1249" t="s">
        <v>2849</v>
      </c>
      <c r="E240" s="1250" t="s">
        <v>2327</v>
      </c>
      <c r="F240" s="1251">
        <f>SUM(H247:K247,0)</f>
        <v>89568.562875000003</v>
      </c>
      <c r="G240" s="1252"/>
      <c r="H240" s="1062">
        <f>+H247</f>
        <v>123</v>
      </c>
      <c r="I240" s="1062">
        <f>+I247</f>
        <v>80702.22600000001</v>
      </c>
      <c r="J240" s="1062">
        <f>+J247</f>
        <v>8743.3368750000009</v>
      </c>
      <c r="K240" s="1062">
        <f>+K247</f>
        <v>0</v>
      </c>
      <c r="L240" s="436"/>
    </row>
    <row r="241" spans="3:12" s="993" customFormat="1" ht="13.5" thickBot="1" x14ac:dyDescent="0.25">
      <c r="C241" s="964" t="s">
        <v>1521</v>
      </c>
      <c r="D241" s="965" t="s">
        <v>930</v>
      </c>
      <c r="E241" s="966" t="s">
        <v>931</v>
      </c>
      <c r="F241" s="967" t="s">
        <v>1522</v>
      </c>
      <c r="G241" s="968" t="s">
        <v>932</v>
      </c>
      <c r="H241" s="969" t="s">
        <v>1523</v>
      </c>
      <c r="I241" s="967" t="s">
        <v>1524</v>
      </c>
      <c r="J241" s="970" t="s">
        <v>1525</v>
      </c>
      <c r="K241" s="971" t="s">
        <v>1526</v>
      </c>
      <c r="L241" s="436"/>
    </row>
    <row r="242" spans="3:12" s="993" customFormat="1" x14ac:dyDescent="0.2">
      <c r="C242" s="1042" t="s">
        <v>1619</v>
      </c>
      <c r="D242" s="1046" t="str">
        <f>VLOOKUP(C242,'Valor Materiales'!B:E,2,0)</f>
        <v>Herramienta Menor General</v>
      </c>
      <c r="E242" s="972" t="s">
        <v>905</v>
      </c>
      <c r="F242" s="244">
        <f>VLOOKUP(C242,'Valor Materiales'!B:E,4,0)</f>
        <v>902</v>
      </c>
      <c r="G242" s="973">
        <v>0.13600000000000001</v>
      </c>
      <c r="H242" s="1009">
        <f>+ROUND(F242*G242,0)</f>
        <v>123</v>
      </c>
      <c r="I242" s="975">
        <v>0</v>
      </c>
      <c r="J242" s="975">
        <v>0</v>
      </c>
      <c r="K242" s="977">
        <v>0</v>
      </c>
      <c r="L242" s="436"/>
    </row>
    <row r="243" spans="3:12" s="993" customFormat="1" x14ac:dyDescent="0.2">
      <c r="C243" s="1195" t="s">
        <v>1083</v>
      </c>
      <c r="D243" s="1047" t="str">
        <f>VLOOKUP(C243,'Valor Materiales'!B:E,2,0)</f>
        <v>Tubería Pvc Novafort o similar 315 m.m. (12")</v>
      </c>
      <c r="E243" s="1030" t="s">
        <v>1265</v>
      </c>
      <c r="F243" s="254">
        <f>VLOOKUP(C243,'Valor Materiales'!B:E,4,0)</f>
        <v>77817</v>
      </c>
      <c r="G243" s="1050">
        <v>1.03</v>
      </c>
      <c r="H243" s="982">
        <v>0</v>
      </c>
      <c r="I243" s="1015">
        <f>+G243*F243</f>
        <v>80151.510000000009</v>
      </c>
      <c r="J243" s="1016">
        <v>0</v>
      </c>
      <c r="K243" s="1017">
        <v>0</v>
      </c>
      <c r="L243" s="436"/>
    </row>
    <row r="244" spans="3:12" s="993" customFormat="1" x14ac:dyDescent="0.2">
      <c r="C244" s="1044" t="s">
        <v>1376</v>
      </c>
      <c r="D244" s="1048" t="str">
        <f>VLOOKUP(C244,'Valor Materiales'!B:E,2,0)</f>
        <v>Teja de Zinc No. 8</v>
      </c>
      <c r="E244" s="978" t="s">
        <v>905</v>
      </c>
      <c r="F244" s="254">
        <f>VLOOKUP(C244,'Valor Materiales'!B:E,4,0)</f>
        <v>16500</v>
      </c>
      <c r="G244" s="1018">
        <v>0.01</v>
      </c>
      <c r="H244" s="1019">
        <v>0</v>
      </c>
      <c r="I244" s="981">
        <f>+G244*F244</f>
        <v>165</v>
      </c>
      <c r="J244" s="987">
        <v>0</v>
      </c>
      <c r="K244" s="988">
        <v>0</v>
      </c>
      <c r="L244" s="436"/>
    </row>
    <row r="245" spans="3:12" s="993" customFormat="1" x14ac:dyDescent="0.2">
      <c r="C245" s="1044" t="s">
        <v>1125</v>
      </c>
      <c r="D245" s="1047" t="str">
        <f>VLOOKUP(C245,'Valor Materiales'!B:E,2,0)</f>
        <v>Adhesivo Novafort o similar</v>
      </c>
      <c r="E245" s="978" t="s">
        <v>905</v>
      </c>
      <c r="F245" s="254">
        <f>VLOOKUP(C245,'Valor Materiales'!B:E,4,0)</f>
        <v>32143</v>
      </c>
      <c r="G245" s="1018">
        <v>1.2E-2</v>
      </c>
      <c r="H245" s="986">
        <v>0</v>
      </c>
      <c r="I245" s="981">
        <f>+G245*F245</f>
        <v>385.71600000000001</v>
      </c>
      <c r="J245" s="987">
        <v>0</v>
      </c>
      <c r="K245" s="988">
        <v>0</v>
      </c>
      <c r="L245" s="436"/>
    </row>
    <row r="246" spans="3:12" s="993" customFormat="1" ht="13.5" thickBot="1" x14ac:dyDescent="0.25">
      <c r="C246" s="1045" t="s">
        <v>1598</v>
      </c>
      <c r="D246" s="1049" t="str">
        <f>VLOOKUP(C246,'Valor Materiales'!B:E,2,0)</f>
        <v>Cuadrilla tipo II (1of + 2ay)</v>
      </c>
      <c r="E246" s="989" t="s">
        <v>1583</v>
      </c>
      <c r="F246" s="261">
        <f>VLOOKUP(C246,'Valor Materiales'!B:E,4,0)</f>
        <v>23008.78125</v>
      </c>
      <c r="G246" s="990">
        <v>0.38</v>
      </c>
      <c r="H246" s="961">
        <v>0</v>
      </c>
      <c r="I246" s="962">
        <v>0</v>
      </c>
      <c r="J246" s="962">
        <f>+G246*F246</f>
        <v>8743.3368750000009</v>
      </c>
      <c r="K246" s="963">
        <v>0</v>
      </c>
      <c r="L246" s="159"/>
    </row>
    <row r="247" spans="3:12" s="993" customFormat="1" ht="13.5" thickBot="1" x14ac:dyDescent="0.25">
      <c r="C247" s="992"/>
      <c r="E247" s="992"/>
      <c r="F247" s="994"/>
      <c r="G247" s="953"/>
      <c r="H247" s="995">
        <f>SUM(H242:H246)</f>
        <v>123</v>
      </c>
      <c r="I247" s="995">
        <f t="shared" ref="I247:J247" si="12">SUM(I242:I246)</f>
        <v>80702.22600000001</v>
      </c>
      <c r="J247" s="995">
        <f t="shared" si="12"/>
        <v>8743.3368750000009</v>
      </c>
      <c r="K247" s="995">
        <f>SUM(K242:K246)*1.0373*1.05</f>
        <v>0</v>
      </c>
      <c r="L247" s="159"/>
    </row>
    <row r="248" spans="3:12" s="993" customFormat="1" ht="13.5" thickBot="1" x14ac:dyDescent="0.25">
      <c r="C248" s="992"/>
      <c r="E248" s="992"/>
      <c r="F248" s="994"/>
      <c r="G248" s="953"/>
      <c r="H248" s="1008"/>
      <c r="I248" s="1008"/>
      <c r="J248" s="1008"/>
      <c r="K248" s="1008"/>
      <c r="L248" s="159"/>
    </row>
    <row r="249" spans="3:12" s="993" customFormat="1" ht="13.5" thickBot="1" x14ac:dyDescent="0.25">
      <c r="C249" s="950" t="s">
        <v>1518</v>
      </c>
      <c r="D249" s="951" t="s">
        <v>1519</v>
      </c>
      <c r="E249" s="950" t="s">
        <v>931</v>
      </c>
      <c r="F249" s="952" t="s">
        <v>1532</v>
      </c>
      <c r="G249" s="953"/>
      <c r="H249" s="969" t="s">
        <v>1523</v>
      </c>
      <c r="I249" s="967" t="s">
        <v>1524</v>
      </c>
      <c r="J249" s="970" t="s">
        <v>1525</v>
      </c>
      <c r="K249" s="971" t="s">
        <v>1526</v>
      </c>
      <c r="L249" s="159"/>
    </row>
    <row r="250" spans="3:12" s="993" customFormat="1" ht="39" thickBot="1" x14ac:dyDescent="0.25">
      <c r="C250" s="1248" t="s">
        <v>2919</v>
      </c>
      <c r="D250" s="1249" t="s">
        <v>2918</v>
      </c>
      <c r="E250" s="1250" t="s">
        <v>2327</v>
      </c>
      <c r="F250" s="1251">
        <f>SUM(H257:K257,0)</f>
        <v>108572.062875</v>
      </c>
      <c r="G250" s="1252"/>
      <c r="H250" s="1062">
        <f>+H257</f>
        <v>123</v>
      </c>
      <c r="I250" s="1062">
        <f>+I257</f>
        <v>99705.72600000001</v>
      </c>
      <c r="J250" s="1062">
        <f>+J257</f>
        <v>8743.3368750000009</v>
      </c>
      <c r="K250" s="1062">
        <f>+K257</f>
        <v>0</v>
      </c>
      <c r="L250" s="159"/>
    </row>
    <row r="251" spans="3:12" s="993" customFormat="1" ht="13.5" thickBot="1" x14ac:dyDescent="0.25">
      <c r="C251" s="964" t="s">
        <v>1521</v>
      </c>
      <c r="D251" s="965" t="s">
        <v>930</v>
      </c>
      <c r="E251" s="966" t="s">
        <v>931</v>
      </c>
      <c r="F251" s="967" t="s">
        <v>1522</v>
      </c>
      <c r="G251" s="968" t="s">
        <v>932</v>
      </c>
      <c r="H251" s="969" t="s">
        <v>1523</v>
      </c>
      <c r="I251" s="967" t="s">
        <v>1524</v>
      </c>
      <c r="J251" s="970" t="s">
        <v>1525</v>
      </c>
      <c r="K251" s="971" t="s">
        <v>1526</v>
      </c>
      <c r="L251" s="159"/>
    </row>
    <row r="252" spans="3:12" s="993" customFormat="1" x14ac:dyDescent="0.2">
      <c r="C252" s="1042" t="s">
        <v>1619</v>
      </c>
      <c r="D252" s="1046" t="str">
        <f>VLOOKUP(C252,'Valor Materiales'!B:E,2,0)</f>
        <v>Herramienta Menor General</v>
      </c>
      <c r="E252" s="972" t="s">
        <v>905</v>
      </c>
      <c r="F252" s="244">
        <f>VLOOKUP(C252,'Valor Materiales'!B:E,4,0)</f>
        <v>902</v>
      </c>
      <c r="G252" s="973">
        <v>0.13600000000000001</v>
      </c>
      <c r="H252" s="1009">
        <f>+ROUND(F252*G252,0)</f>
        <v>123</v>
      </c>
      <c r="I252" s="975">
        <v>0</v>
      </c>
      <c r="J252" s="975">
        <v>0</v>
      </c>
      <c r="K252" s="977">
        <v>0</v>
      </c>
      <c r="L252" s="159"/>
    </row>
    <row r="253" spans="3:12" s="993" customFormat="1" x14ac:dyDescent="0.2">
      <c r="C253" s="1195">
        <v>20.6</v>
      </c>
      <c r="D253" s="1047" t="str">
        <f>VLOOKUP(C253,'Valor Materiales'!B:E,2,0)</f>
        <v>Tubería Pvc Novafort o similar 355 m.m. (14")</v>
      </c>
      <c r="E253" s="1030" t="s">
        <v>1265</v>
      </c>
      <c r="F253" s="254">
        <f>VLOOKUP(C253,'Valor Materiales'!B:E,4,0)</f>
        <v>96267</v>
      </c>
      <c r="G253" s="1050">
        <v>1.03</v>
      </c>
      <c r="H253" s="982">
        <v>0</v>
      </c>
      <c r="I253" s="1015">
        <f>+G253*F253</f>
        <v>99155.010000000009</v>
      </c>
      <c r="J253" s="1016">
        <v>0</v>
      </c>
      <c r="K253" s="1017">
        <v>0</v>
      </c>
      <c r="L253" s="159"/>
    </row>
    <row r="254" spans="3:12" s="993" customFormat="1" x14ac:dyDescent="0.2">
      <c r="C254" s="1044" t="s">
        <v>1376</v>
      </c>
      <c r="D254" s="1048" t="str">
        <f>VLOOKUP(C254,'Valor Materiales'!B:E,2,0)</f>
        <v>Teja de Zinc No. 8</v>
      </c>
      <c r="E254" s="978" t="s">
        <v>905</v>
      </c>
      <c r="F254" s="254">
        <f>VLOOKUP(C254,'Valor Materiales'!B:E,4,0)</f>
        <v>16500</v>
      </c>
      <c r="G254" s="1018">
        <v>0.01</v>
      </c>
      <c r="H254" s="1019">
        <v>0</v>
      </c>
      <c r="I254" s="981">
        <f>+G254*F254</f>
        <v>165</v>
      </c>
      <c r="J254" s="987">
        <v>0</v>
      </c>
      <c r="K254" s="988">
        <v>0</v>
      </c>
      <c r="L254" s="159"/>
    </row>
    <row r="255" spans="3:12" s="993" customFormat="1" x14ac:dyDescent="0.2">
      <c r="C255" s="1044" t="s">
        <v>1125</v>
      </c>
      <c r="D255" s="1047" t="str">
        <f>VLOOKUP(C255,'Valor Materiales'!B:E,2,0)</f>
        <v>Adhesivo Novafort o similar</v>
      </c>
      <c r="E255" s="978" t="s">
        <v>905</v>
      </c>
      <c r="F255" s="254">
        <f>VLOOKUP(C255,'Valor Materiales'!B:E,4,0)</f>
        <v>32143</v>
      </c>
      <c r="G255" s="1018">
        <v>1.2E-2</v>
      </c>
      <c r="H255" s="986">
        <v>0</v>
      </c>
      <c r="I255" s="981">
        <f>+G255*F255</f>
        <v>385.71600000000001</v>
      </c>
      <c r="J255" s="987">
        <v>0</v>
      </c>
      <c r="K255" s="988">
        <v>0</v>
      </c>
      <c r="L255" s="159"/>
    </row>
    <row r="256" spans="3:12" s="993" customFormat="1" ht="13.5" thickBot="1" x14ac:dyDescent="0.25">
      <c r="C256" s="1045" t="s">
        <v>1598</v>
      </c>
      <c r="D256" s="1049" t="str">
        <f>VLOOKUP(C256,'Valor Materiales'!B:E,2,0)</f>
        <v>Cuadrilla tipo II (1of + 2ay)</v>
      </c>
      <c r="E256" s="989" t="s">
        <v>1583</v>
      </c>
      <c r="F256" s="261">
        <f>VLOOKUP(C256,'Valor Materiales'!B:E,4,0)</f>
        <v>23008.78125</v>
      </c>
      <c r="G256" s="990">
        <v>0.38</v>
      </c>
      <c r="H256" s="961">
        <v>0</v>
      </c>
      <c r="I256" s="962">
        <v>0</v>
      </c>
      <c r="J256" s="962">
        <f>+G256*F256</f>
        <v>8743.3368750000009</v>
      </c>
      <c r="K256" s="963">
        <v>0</v>
      </c>
      <c r="L256" s="159"/>
    </row>
    <row r="257" spans="2:12" s="993" customFormat="1" ht="13.5" thickBot="1" x14ac:dyDescent="0.25">
      <c r="C257" s="992"/>
      <c r="E257" s="992"/>
      <c r="F257" s="994"/>
      <c r="G257" s="953"/>
      <c r="H257" s="995">
        <f>SUM(H252:H256)</f>
        <v>123</v>
      </c>
      <c r="I257" s="995">
        <f t="shared" ref="I257:J257" si="13">SUM(I252:I256)</f>
        <v>99705.72600000001</v>
      </c>
      <c r="J257" s="995">
        <f t="shared" si="13"/>
        <v>8743.3368750000009</v>
      </c>
      <c r="K257" s="995">
        <f>SUM(K252:K256)*1.0373*1.05</f>
        <v>0</v>
      </c>
      <c r="L257" s="159"/>
    </row>
    <row r="258" spans="2:12" s="993" customFormat="1" x14ac:dyDescent="0.2">
      <c r="C258" s="992"/>
      <c r="E258" s="992"/>
      <c r="F258" s="994"/>
      <c r="G258" s="953"/>
      <c r="H258" s="1008"/>
      <c r="I258" s="1008"/>
      <c r="J258" s="1008"/>
      <c r="K258" s="1008"/>
      <c r="L258" s="159"/>
    </row>
    <row r="259" spans="2:12" s="993" customFormat="1" ht="13.5" thickBot="1" x14ac:dyDescent="0.25">
      <c r="C259" s="1021"/>
      <c r="D259" s="953"/>
      <c r="E259" s="1021"/>
      <c r="F259" s="1008"/>
      <c r="G259" s="953"/>
      <c r="H259" s="1008"/>
      <c r="I259" s="1008"/>
      <c r="J259" s="1008"/>
      <c r="K259" s="1008"/>
      <c r="L259" s="159"/>
    </row>
    <row r="260" spans="2:12" s="993" customFormat="1" ht="13.5" thickBot="1" x14ac:dyDescent="0.25">
      <c r="C260" s="950" t="s">
        <v>1518</v>
      </c>
      <c r="D260" s="951" t="s">
        <v>1519</v>
      </c>
      <c r="E260" s="950" t="s">
        <v>931</v>
      </c>
      <c r="F260" s="952" t="s">
        <v>1532</v>
      </c>
      <c r="G260" s="953"/>
      <c r="H260" s="969" t="s">
        <v>1523</v>
      </c>
      <c r="I260" s="967" t="s">
        <v>1524</v>
      </c>
      <c r="J260" s="970" t="s">
        <v>1525</v>
      </c>
      <c r="K260" s="971" t="s">
        <v>1526</v>
      </c>
      <c r="L260" s="159"/>
    </row>
    <row r="261" spans="2:12" s="993" customFormat="1" ht="39" thickBot="1" x14ac:dyDescent="0.25">
      <c r="C261" s="1248" t="s">
        <v>2395</v>
      </c>
      <c r="D261" s="1249" t="s">
        <v>2737</v>
      </c>
      <c r="E261" s="1250" t="s">
        <v>2327</v>
      </c>
      <c r="F261" s="1251">
        <f>SUM(H268:K268,0)</f>
        <v>209491.94362500001</v>
      </c>
      <c r="G261" s="1252"/>
      <c r="H261" s="1062">
        <f>+H268</f>
        <v>123</v>
      </c>
      <c r="I261" s="1062">
        <f>+I268</f>
        <v>185425.728</v>
      </c>
      <c r="J261" s="1062">
        <f>+J268</f>
        <v>23943.215625000001</v>
      </c>
      <c r="K261" s="1062">
        <f>+K268</f>
        <v>0</v>
      </c>
      <c r="L261" s="159"/>
    </row>
    <row r="262" spans="2:12" s="993" customFormat="1" ht="13.5" thickBot="1" x14ac:dyDescent="0.25">
      <c r="C262" s="964" t="s">
        <v>1521</v>
      </c>
      <c r="D262" s="965" t="s">
        <v>930</v>
      </c>
      <c r="E262" s="966" t="s">
        <v>931</v>
      </c>
      <c r="F262" s="967" t="s">
        <v>1522</v>
      </c>
      <c r="G262" s="1034" t="s">
        <v>932</v>
      </c>
      <c r="H262" s="952" t="s">
        <v>1523</v>
      </c>
      <c r="I262" s="1035" t="s">
        <v>1524</v>
      </c>
      <c r="J262" s="970" t="s">
        <v>1525</v>
      </c>
      <c r="K262" s="971" t="s">
        <v>1526</v>
      </c>
      <c r="L262" s="159"/>
    </row>
    <row r="263" spans="2:12" s="993" customFormat="1" x14ac:dyDescent="0.2">
      <c r="C263" s="1030" t="s">
        <v>1619</v>
      </c>
      <c r="D263" s="1031" t="str">
        <f>VLOOKUP(C263,'Valor Materiales'!B:E,2,0)</f>
        <v>Herramienta Menor General</v>
      </c>
      <c r="E263" s="1032" t="str">
        <f>VLOOKUP(C263,'Valor Materiales'!B:E,3,0)</f>
        <v>Un</v>
      </c>
      <c r="F263" s="1013">
        <f>VLOOKUP(C263,'Valor Materiales'!B:E,4,0)</f>
        <v>902</v>
      </c>
      <c r="G263" s="1029">
        <v>0.13600000000000001</v>
      </c>
      <c r="H263" s="1038">
        <f>+ROUND(F263*G263,0)</f>
        <v>123</v>
      </c>
      <c r="I263" s="1015">
        <v>0</v>
      </c>
      <c r="J263" s="1013">
        <v>0</v>
      </c>
      <c r="K263" s="1033">
        <v>0</v>
      </c>
      <c r="L263" s="159"/>
    </row>
    <row r="264" spans="2:12" s="993" customFormat="1" x14ac:dyDescent="0.2">
      <c r="C264" s="1010" t="s">
        <v>1085</v>
      </c>
      <c r="D264" s="1011" t="str">
        <f>VLOOKUP(C264,'Valor Materiales'!B:E,2,0)</f>
        <v>Tubería Pvc Novafort o similar 450 m.m. (18")</v>
      </c>
      <c r="E264" s="1012" t="str">
        <f>VLOOKUP(C264,'Valor Materiales'!B:E,3,0)</f>
        <v>Ml</v>
      </c>
      <c r="F264" s="1013">
        <f>VLOOKUP(C264,'Valor Materiales'!B:E,4,0)</f>
        <v>179454</v>
      </c>
      <c r="G264" s="1029">
        <v>1.03</v>
      </c>
      <c r="H264" s="1039">
        <v>0</v>
      </c>
      <c r="I264" s="1036">
        <f>+G264*F264</f>
        <v>184837.62</v>
      </c>
      <c r="J264" s="987">
        <v>0</v>
      </c>
      <c r="K264" s="1017"/>
      <c r="L264" s="159"/>
    </row>
    <row r="265" spans="2:12" s="993" customFormat="1" x14ac:dyDescent="0.2">
      <c r="C265" s="984" t="s">
        <v>1376</v>
      </c>
      <c r="D265" s="979" t="str">
        <f>VLOOKUP(C265,'Valor Materiales'!B:E,2,0)</f>
        <v>Teja de Zinc No. 8</v>
      </c>
      <c r="E265" s="980" t="str">
        <f>VLOOKUP(C265,'Valor Materiales'!B:E,3,0)</f>
        <v>Un</v>
      </c>
      <c r="F265" s="1013">
        <f>VLOOKUP(C265,'Valor Materiales'!B:E,4,0)</f>
        <v>16500</v>
      </c>
      <c r="G265" s="1018">
        <v>0.01</v>
      </c>
      <c r="H265" s="1039">
        <v>0</v>
      </c>
      <c r="I265" s="1036">
        <f>+G265*F265</f>
        <v>165</v>
      </c>
      <c r="J265" s="987">
        <v>0</v>
      </c>
      <c r="K265" s="988">
        <v>0</v>
      </c>
      <c r="L265" s="159"/>
    </row>
    <row r="266" spans="2:12" s="993" customFormat="1" x14ac:dyDescent="0.2">
      <c r="B266" s="1020"/>
      <c r="C266" s="984" t="s">
        <v>1123</v>
      </c>
      <c r="D266" s="979" t="str">
        <f>VLOOKUP(C266,'Valor Materiales'!B:E,2,0)</f>
        <v>Acondicionador de Superficie</v>
      </c>
      <c r="E266" s="980" t="str">
        <f>VLOOKUP(C266,'Valor Materiales'!B:E,3,0)</f>
        <v>Un</v>
      </c>
      <c r="F266" s="1013">
        <f>VLOOKUP(C266,'Valor Materiales'!B:E,4,0)</f>
        <v>35259</v>
      </c>
      <c r="G266" s="1018">
        <v>1.2E-2</v>
      </c>
      <c r="H266" s="1038">
        <v>0</v>
      </c>
      <c r="I266" s="1036">
        <f>+G266*F266</f>
        <v>423.108</v>
      </c>
      <c r="J266" s="987">
        <v>0</v>
      </c>
      <c r="K266" s="988"/>
      <c r="L266" s="159"/>
    </row>
    <row r="267" spans="2:12" s="993" customFormat="1" ht="13.5" thickBot="1" x14ac:dyDescent="0.25">
      <c r="C267" s="989" t="s">
        <v>1599</v>
      </c>
      <c r="D267" s="990" t="str">
        <f>VLOOKUP(C267,'Valor Materiales'!B:E,2,0)</f>
        <v>Cuadrilla tipo III (2of + 3ay)</v>
      </c>
      <c r="E267" s="991" t="str">
        <f>VLOOKUP(C267,'Valor Materiales'!B:E,3,0)</f>
        <v>Hr</v>
      </c>
      <c r="F267" s="962">
        <f>VLOOKUP(C267,'Valor Materiales'!B:E,4,0)</f>
        <v>39905.359375</v>
      </c>
      <c r="G267" s="1006">
        <v>0.6</v>
      </c>
      <c r="H267" s="1040">
        <v>0</v>
      </c>
      <c r="I267" s="1037">
        <v>0</v>
      </c>
      <c r="J267" s="962">
        <f>+G267*F267</f>
        <v>23943.215625000001</v>
      </c>
      <c r="K267" s="963">
        <v>0</v>
      </c>
      <c r="L267" s="159"/>
    </row>
    <row r="268" spans="2:12" s="993" customFormat="1" ht="13.5" thickBot="1" x14ac:dyDescent="0.25">
      <c r="C268" s="992"/>
      <c r="E268" s="992"/>
      <c r="F268" s="994"/>
      <c r="G268" s="953"/>
      <c r="H268" s="995">
        <f>SUM(H263:H267)</f>
        <v>123</v>
      </c>
      <c r="I268" s="995">
        <f t="shared" ref="I268:K268" si="14">SUM(I263:I267)</f>
        <v>185425.728</v>
      </c>
      <c r="J268" s="995">
        <f t="shared" si="14"/>
        <v>23943.215625000001</v>
      </c>
      <c r="K268" s="995">
        <f t="shared" si="14"/>
        <v>0</v>
      </c>
      <c r="L268" s="159"/>
    </row>
    <row r="269" spans="2:12" s="993" customFormat="1" ht="13.5" thickBot="1" x14ac:dyDescent="0.25">
      <c r="C269" s="992"/>
      <c r="E269" s="992"/>
      <c r="F269" s="994"/>
      <c r="G269" s="953"/>
      <c r="H269" s="1008"/>
      <c r="I269" s="1008"/>
      <c r="J269" s="1008"/>
      <c r="K269" s="1008"/>
      <c r="L269" s="159"/>
    </row>
    <row r="270" spans="2:12" s="993" customFormat="1" ht="13.5" thickBot="1" x14ac:dyDescent="0.25">
      <c r="C270" s="950" t="s">
        <v>1518</v>
      </c>
      <c r="D270" s="951" t="s">
        <v>1519</v>
      </c>
      <c r="E270" s="950" t="s">
        <v>931</v>
      </c>
      <c r="F270" s="952" t="s">
        <v>1532</v>
      </c>
      <c r="G270" s="953"/>
      <c r="H270" s="969" t="s">
        <v>1523</v>
      </c>
      <c r="I270" s="967" t="s">
        <v>1524</v>
      </c>
      <c r="J270" s="970" t="s">
        <v>1525</v>
      </c>
      <c r="K270" s="971" t="s">
        <v>1526</v>
      </c>
      <c r="L270" s="159"/>
    </row>
    <row r="271" spans="2:12" s="993" customFormat="1" ht="39" thickBot="1" x14ac:dyDescent="0.25">
      <c r="C271" s="1248" t="s">
        <v>2396</v>
      </c>
      <c r="D271" s="1249" t="s">
        <v>2749</v>
      </c>
      <c r="E271" s="1250" t="s">
        <v>2327</v>
      </c>
      <c r="F271" s="1251">
        <f>SUM(H278:K278,0)</f>
        <v>301428.80756250006</v>
      </c>
      <c r="G271" s="1252"/>
      <c r="H271" s="1062">
        <f>+H278</f>
        <v>123</v>
      </c>
      <c r="I271" s="1062">
        <f>+I278</f>
        <v>273372.05600000004</v>
      </c>
      <c r="J271" s="1062">
        <f>+J278</f>
        <v>27933.751562499998</v>
      </c>
      <c r="K271" s="1062">
        <f>+K278</f>
        <v>0</v>
      </c>
      <c r="L271" s="159"/>
    </row>
    <row r="272" spans="2:12" s="993" customFormat="1" ht="13.5" thickBot="1" x14ac:dyDescent="0.25">
      <c r="C272" s="964" t="s">
        <v>1521</v>
      </c>
      <c r="D272" s="965" t="s">
        <v>930</v>
      </c>
      <c r="E272" s="966" t="s">
        <v>931</v>
      </c>
      <c r="F272" s="967" t="s">
        <v>1522</v>
      </c>
      <c r="G272" s="968" t="s">
        <v>932</v>
      </c>
      <c r="H272" s="969" t="s">
        <v>1523</v>
      </c>
      <c r="I272" s="967" t="s">
        <v>1524</v>
      </c>
      <c r="J272" s="970" t="s">
        <v>1525</v>
      </c>
      <c r="K272" s="971" t="s">
        <v>1526</v>
      </c>
      <c r="L272" s="159"/>
    </row>
    <row r="273" spans="3:12" s="993" customFormat="1" x14ac:dyDescent="0.2">
      <c r="C273" s="972" t="s">
        <v>1619</v>
      </c>
      <c r="D273" s="1031" t="str">
        <f>VLOOKUP(C273,'Valor Materiales'!B:E,2,0)</f>
        <v>Herramienta Menor General</v>
      </c>
      <c r="E273" s="974" t="str">
        <f>VLOOKUP(C273,'Valor Materiales'!B:E,3,0)</f>
        <v>Un</v>
      </c>
      <c r="F273" s="975">
        <f>VLOOKUP(C273,'Valor Materiales'!B:E,4,0)</f>
        <v>902</v>
      </c>
      <c r="G273" s="1002">
        <v>0.13600000000000001</v>
      </c>
      <c r="H273" s="1009">
        <f>+ROUND(F273*G273,0)</f>
        <v>123</v>
      </c>
      <c r="I273" s="975">
        <v>0</v>
      </c>
      <c r="J273" s="975">
        <v>0</v>
      </c>
      <c r="K273" s="977">
        <v>0</v>
      </c>
      <c r="L273" s="159"/>
    </row>
    <row r="274" spans="3:12" s="993" customFormat="1" x14ac:dyDescent="0.2">
      <c r="C274" s="1010" t="s">
        <v>1086</v>
      </c>
      <c r="D274" s="1011" t="str">
        <f>VLOOKUP(C274,'Valor Materiales'!B:E,2,0)</f>
        <v>Tubería Pvc Novafort o similar 500 m.m. (20")</v>
      </c>
      <c r="E274" s="1012" t="str">
        <f>VLOOKUP(C274,'Valor Materiales'!B:E,3,0)</f>
        <v>Ml</v>
      </c>
      <c r="F274" s="1013">
        <f>VLOOKUP(C274,'Valor Materiales'!B:E,4,0)</f>
        <v>264428</v>
      </c>
      <c r="G274" s="1014">
        <v>1.03</v>
      </c>
      <c r="H274" s="982">
        <v>0</v>
      </c>
      <c r="I274" s="1015">
        <f>+G274*F274</f>
        <v>272360.84000000003</v>
      </c>
      <c r="J274" s="1016">
        <v>0</v>
      </c>
      <c r="K274" s="1017">
        <v>0</v>
      </c>
      <c r="L274" s="159"/>
    </row>
    <row r="275" spans="3:12" s="993" customFormat="1" x14ac:dyDescent="0.2">
      <c r="C275" s="984" t="s">
        <v>1376</v>
      </c>
      <c r="D275" s="979" t="str">
        <f>VLOOKUP(C275,'Valor Materiales'!B:E,2,0)</f>
        <v>Teja de Zinc No. 8</v>
      </c>
      <c r="E275" s="1012" t="str">
        <f>VLOOKUP(C275,'Valor Materiales'!B:E,3,0)</f>
        <v>Un</v>
      </c>
      <c r="F275" s="1013">
        <f>VLOOKUP(C275,'Valor Materiales'!B:E,4,0)</f>
        <v>16500</v>
      </c>
      <c r="G275" s="1018">
        <v>0.01</v>
      </c>
      <c r="H275" s="1019">
        <v>0</v>
      </c>
      <c r="I275" s="981">
        <f>+G275*F275</f>
        <v>165</v>
      </c>
      <c r="J275" s="987">
        <v>0</v>
      </c>
      <c r="K275" s="988">
        <v>0</v>
      </c>
      <c r="L275" s="159"/>
    </row>
    <row r="276" spans="3:12" s="993" customFormat="1" x14ac:dyDescent="0.2">
      <c r="C276" s="984" t="s">
        <v>1123</v>
      </c>
      <c r="D276" s="979" t="str">
        <f>VLOOKUP(C276,'Valor Materiales'!B:E,2,0)</f>
        <v>Acondicionador de Superficie</v>
      </c>
      <c r="E276" s="1012" t="str">
        <f>VLOOKUP(C276,'Valor Materiales'!B:E,3,0)</f>
        <v>Un</v>
      </c>
      <c r="F276" s="1013">
        <f>VLOOKUP(C276,'Valor Materiales'!B:E,4,0)</f>
        <v>35259</v>
      </c>
      <c r="G276" s="1018">
        <v>2.4E-2</v>
      </c>
      <c r="H276" s="986">
        <v>0</v>
      </c>
      <c r="I276" s="981">
        <f>+G276*F276</f>
        <v>846.21600000000001</v>
      </c>
      <c r="J276" s="987">
        <v>0</v>
      </c>
      <c r="K276" s="988">
        <v>0</v>
      </c>
      <c r="L276" s="159"/>
    </row>
    <row r="277" spans="3:12" s="993" customFormat="1" ht="13.5" thickBot="1" x14ac:dyDescent="0.25">
      <c r="C277" s="989" t="s">
        <v>1599</v>
      </c>
      <c r="D277" s="990" t="str">
        <f>VLOOKUP(C277,'Valor Materiales'!B:E,2,0)</f>
        <v>Cuadrilla tipo III (2of + 3ay)</v>
      </c>
      <c r="E277" s="991" t="str">
        <f>VLOOKUP(C277,'Valor Materiales'!B:E,3,0)</f>
        <v>Hr</v>
      </c>
      <c r="F277" s="962">
        <f>VLOOKUP(C277,'Valor Materiales'!B:E,4,0)</f>
        <v>39905.359375</v>
      </c>
      <c r="G277" s="1006">
        <v>0.7</v>
      </c>
      <c r="H277" s="961">
        <v>0</v>
      </c>
      <c r="I277" s="962">
        <v>0</v>
      </c>
      <c r="J277" s="962">
        <f>+G277*F277</f>
        <v>27933.751562499998</v>
      </c>
      <c r="K277" s="963">
        <v>0</v>
      </c>
      <c r="L277" s="159"/>
    </row>
    <row r="278" spans="3:12" s="993" customFormat="1" ht="13.5" thickBot="1" x14ac:dyDescent="0.25">
      <c r="C278" s="992"/>
      <c r="E278" s="992"/>
      <c r="F278" s="994"/>
      <c r="G278" s="953"/>
      <c r="H278" s="995">
        <f>SUM(H273:H277)</f>
        <v>123</v>
      </c>
      <c r="I278" s="995">
        <f t="shared" ref="I278:J278" si="15">SUM(I273:I277)</f>
        <v>273372.05600000004</v>
      </c>
      <c r="J278" s="995">
        <f t="shared" si="15"/>
        <v>27933.751562499998</v>
      </c>
      <c r="K278" s="995">
        <f>SUM(K273:K277)</f>
        <v>0</v>
      </c>
      <c r="L278" s="159"/>
    </row>
    <row r="279" spans="3:12" s="993" customFormat="1" ht="13.5" thickBot="1" x14ac:dyDescent="0.25">
      <c r="C279" s="992"/>
      <c r="E279" s="992"/>
      <c r="F279" s="994"/>
      <c r="G279" s="953"/>
      <c r="H279" s="1008"/>
      <c r="I279" s="1008"/>
      <c r="J279" s="1008"/>
      <c r="K279" s="1008"/>
      <c r="L279" s="159"/>
    </row>
    <row r="280" spans="3:12" s="993" customFormat="1" ht="13.5" thickBot="1" x14ac:dyDescent="0.25">
      <c r="C280" s="950" t="s">
        <v>1518</v>
      </c>
      <c r="D280" s="951" t="s">
        <v>1519</v>
      </c>
      <c r="E280" s="950" t="s">
        <v>931</v>
      </c>
      <c r="F280" s="952" t="s">
        <v>1532</v>
      </c>
      <c r="G280" s="953"/>
      <c r="H280" s="969" t="s">
        <v>1523</v>
      </c>
      <c r="I280" s="967" t="s">
        <v>1524</v>
      </c>
      <c r="J280" s="970" t="s">
        <v>1525</v>
      </c>
      <c r="K280" s="971" t="s">
        <v>1526</v>
      </c>
      <c r="L280" s="159"/>
    </row>
    <row r="281" spans="3:12" s="993" customFormat="1" ht="39" thickBot="1" x14ac:dyDescent="0.25">
      <c r="C281" s="1248" t="s">
        <v>2397</v>
      </c>
      <c r="D281" s="1249" t="s">
        <v>2750</v>
      </c>
      <c r="E281" s="1250" t="s">
        <v>2327</v>
      </c>
      <c r="F281" s="1251">
        <f>SUM(H288:K288,0)</f>
        <v>423181.19990624994</v>
      </c>
      <c r="G281" s="1252"/>
      <c r="H281" s="1062">
        <f>+H288</f>
        <v>123</v>
      </c>
      <c r="I281" s="1062">
        <f>+I288</f>
        <v>392779.59599999996</v>
      </c>
      <c r="J281" s="1062">
        <f>+J288</f>
        <v>30278.603906249999</v>
      </c>
      <c r="K281" s="1062">
        <f>+K288</f>
        <v>0</v>
      </c>
      <c r="L281" s="159"/>
    </row>
    <row r="282" spans="3:12" s="993" customFormat="1" ht="13.5" thickBot="1" x14ac:dyDescent="0.25">
      <c r="C282" s="964" t="s">
        <v>1521</v>
      </c>
      <c r="D282" s="965" t="s">
        <v>930</v>
      </c>
      <c r="E282" s="966" t="s">
        <v>931</v>
      </c>
      <c r="F282" s="967" t="s">
        <v>1522</v>
      </c>
      <c r="G282" s="968" t="s">
        <v>932</v>
      </c>
      <c r="H282" s="969" t="s">
        <v>1523</v>
      </c>
      <c r="I282" s="967" t="s">
        <v>1524</v>
      </c>
      <c r="J282" s="970" t="s">
        <v>1525</v>
      </c>
      <c r="K282" s="971" t="s">
        <v>1526</v>
      </c>
      <c r="L282" s="159"/>
    </row>
    <row r="283" spans="3:12" s="993" customFormat="1" x14ac:dyDescent="0.2">
      <c r="C283" s="972" t="s">
        <v>1619</v>
      </c>
      <c r="D283" s="973" t="s">
        <v>1528</v>
      </c>
      <c r="E283" s="974" t="s">
        <v>905</v>
      </c>
      <c r="F283" s="975">
        <v>902</v>
      </c>
      <c r="G283" s="1002">
        <v>0.13600000000000001</v>
      </c>
      <c r="H283" s="1009">
        <f>+ROUND(F283*G283,0)</f>
        <v>123</v>
      </c>
      <c r="I283" s="975">
        <v>0</v>
      </c>
      <c r="J283" s="975">
        <v>0</v>
      </c>
      <c r="K283" s="977">
        <v>0</v>
      </c>
      <c r="L283" s="159"/>
    </row>
    <row r="284" spans="3:12" s="993" customFormat="1" x14ac:dyDescent="0.2">
      <c r="C284" s="1010" t="s">
        <v>767</v>
      </c>
      <c r="D284" s="1011" t="str">
        <f>VLOOKUP(C284,'Valor Materiales'!B:E,2,0)</f>
        <v>Tubería Pvc Novaloc o similar 27"</v>
      </c>
      <c r="E284" s="1012" t="s">
        <v>1265</v>
      </c>
      <c r="F284" s="1013">
        <f>VLOOKUP(C284,'Valor Materiales'!B:E,4,0)</f>
        <v>379614</v>
      </c>
      <c r="G284" s="1014">
        <v>1.03</v>
      </c>
      <c r="H284" s="982">
        <v>0</v>
      </c>
      <c r="I284" s="1015">
        <f>+G284*F284</f>
        <v>391002.42</v>
      </c>
      <c r="J284" s="1016">
        <v>0</v>
      </c>
      <c r="K284" s="1017">
        <v>0</v>
      </c>
      <c r="L284" s="159"/>
    </row>
    <row r="285" spans="3:12" s="993" customFormat="1" x14ac:dyDescent="0.2">
      <c r="C285" s="984" t="s">
        <v>1376</v>
      </c>
      <c r="D285" s="979" t="s">
        <v>807</v>
      </c>
      <c r="E285" s="980" t="s">
        <v>905</v>
      </c>
      <c r="F285" s="981">
        <v>16500</v>
      </c>
      <c r="G285" s="1018">
        <v>0.01</v>
      </c>
      <c r="H285" s="1019">
        <v>0</v>
      </c>
      <c r="I285" s="981">
        <f>+G285*F285</f>
        <v>165</v>
      </c>
      <c r="J285" s="987">
        <v>0</v>
      </c>
      <c r="K285" s="988">
        <v>0</v>
      </c>
      <c r="L285" s="159"/>
    </row>
    <row r="286" spans="3:12" s="993" customFormat="1" x14ac:dyDescent="0.2">
      <c r="C286" s="984" t="s">
        <v>1123</v>
      </c>
      <c r="D286" s="979" t="s">
        <v>1124</v>
      </c>
      <c r="E286" s="980" t="s">
        <v>905</v>
      </c>
      <c r="F286" s="981">
        <v>67174</v>
      </c>
      <c r="G286" s="1018">
        <v>2.4E-2</v>
      </c>
      <c r="H286" s="986">
        <v>0</v>
      </c>
      <c r="I286" s="981">
        <f>+G286*F286</f>
        <v>1612.1759999999999</v>
      </c>
      <c r="J286" s="987">
        <v>0</v>
      </c>
      <c r="K286" s="988">
        <v>0</v>
      </c>
      <c r="L286" s="159"/>
    </row>
    <row r="287" spans="3:12" s="993" customFormat="1" ht="15.75" thickBot="1" x14ac:dyDescent="0.3">
      <c r="C287" s="989" t="s">
        <v>1599</v>
      </c>
      <c r="D287" s="990" t="s">
        <v>1585</v>
      </c>
      <c r="E287" s="991" t="s">
        <v>1583</v>
      </c>
      <c r="F287" s="962">
        <v>40371.471874999996</v>
      </c>
      <c r="G287" s="1006">
        <v>0.75</v>
      </c>
      <c r="H287" s="961">
        <v>0</v>
      </c>
      <c r="I287" s="962">
        <v>0</v>
      </c>
      <c r="J287" s="962">
        <f>+G287*F287</f>
        <v>30278.603906249999</v>
      </c>
      <c r="K287" s="963">
        <v>0</v>
      </c>
      <c r="L287" s="743"/>
    </row>
    <row r="288" spans="3:12" s="993" customFormat="1" ht="15.75" thickBot="1" x14ac:dyDescent="0.3">
      <c r="C288" s="992"/>
      <c r="E288" s="992"/>
      <c r="F288" s="994"/>
      <c r="G288" s="953"/>
      <c r="H288" s="995">
        <f>SUM(H283:H287)</f>
        <v>123</v>
      </c>
      <c r="I288" s="995">
        <f t="shared" ref="I288:J288" si="16">SUM(I283:I287)</f>
        <v>392779.59599999996</v>
      </c>
      <c r="J288" s="995">
        <f t="shared" si="16"/>
        <v>30278.603906249999</v>
      </c>
      <c r="K288" s="995">
        <f>SUM(K283:K287)*1.0373*1.05</f>
        <v>0</v>
      </c>
      <c r="L288" s="743"/>
    </row>
    <row r="289" spans="3:12" s="993" customFormat="1" ht="15.75" thickBot="1" x14ac:dyDescent="0.3">
      <c r="C289" s="992"/>
      <c r="E289" s="992"/>
      <c r="F289" s="994"/>
      <c r="G289" s="953"/>
      <c r="H289" s="1008"/>
      <c r="I289" s="1008"/>
      <c r="J289" s="1008"/>
      <c r="K289" s="1008"/>
      <c r="L289" s="743"/>
    </row>
    <row r="290" spans="3:12" s="993" customFormat="1" ht="15.75" thickBot="1" x14ac:dyDescent="0.3">
      <c r="C290" s="950" t="s">
        <v>1518</v>
      </c>
      <c r="D290" s="951" t="s">
        <v>1519</v>
      </c>
      <c r="E290" s="950" t="s">
        <v>931</v>
      </c>
      <c r="F290" s="952" t="s">
        <v>1532</v>
      </c>
      <c r="G290" s="953"/>
      <c r="H290" s="969" t="s">
        <v>1523</v>
      </c>
      <c r="I290" s="967" t="s">
        <v>1524</v>
      </c>
      <c r="J290" s="970" t="s">
        <v>1525</v>
      </c>
      <c r="K290" s="971" t="s">
        <v>1526</v>
      </c>
      <c r="L290" s="743"/>
    </row>
    <row r="291" spans="3:12" s="993" customFormat="1" ht="39" thickBot="1" x14ac:dyDescent="0.3">
      <c r="C291" s="1248" t="s">
        <v>2398</v>
      </c>
      <c r="D291" s="1249" t="s">
        <v>2754</v>
      </c>
      <c r="E291" s="1250" t="s">
        <v>2327</v>
      </c>
      <c r="F291" s="1251">
        <f>SUM(H298:K298,0)</f>
        <v>983673.20692087326</v>
      </c>
      <c r="G291" s="1252"/>
      <c r="H291" s="1062">
        <f>+H298</f>
        <v>386.65357500000005</v>
      </c>
      <c r="I291" s="1062">
        <f>+I298</f>
        <v>945911.03830584907</v>
      </c>
      <c r="J291" s="1062">
        <f>+J298</f>
        <v>37375.51504002422</v>
      </c>
      <c r="K291" s="1062">
        <f>+K298</f>
        <v>0</v>
      </c>
      <c r="L291" s="743"/>
    </row>
    <row r="292" spans="3:12" s="993" customFormat="1" ht="13.5" thickBot="1" x14ac:dyDescent="0.25">
      <c r="C292" s="964" t="s">
        <v>1521</v>
      </c>
      <c r="D292" s="965" t="s">
        <v>930</v>
      </c>
      <c r="E292" s="966" t="s">
        <v>931</v>
      </c>
      <c r="F292" s="967" t="s">
        <v>1522</v>
      </c>
      <c r="G292" s="968" t="s">
        <v>932</v>
      </c>
      <c r="H292" s="969" t="s">
        <v>1523</v>
      </c>
      <c r="I292" s="967" t="s">
        <v>1524</v>
      </c>
      <c r="J292" s="970" t="s">
        <v>1525</v>
      </c>
      <c r="K292" s="971" t="s">
        <v>1526</v>
      </c>
      <c r="L292" s="436"/>
    </row>
    <row r="293" spans="3:12" s="993" customFormat="1" x14ac:dyDescent="0.2">
      <c r="C293" s="972" t="s">
        <v>1619</v>
      </c>
      <c r="D293" s="973" t="s">
        <v>1528</v>
      </c>
      <c r="E293" s="974" t="s">
        <v>905</v>
      </c>
      <c r="F293" s="975">
        <v>902</v>
      </c>
      <c r="G293" s="1002">
        <v>0.39400000000000002</v>
      </c>
      <c r="H293" s="1009">
        <f>+ROUND(F293*G293,0)</f>
        <v>355</v>
      </c>
      <c r="I293" s="975">
        <v>0</v>
      </c>
      <c r="J293" s="975">
        <v>0</v>
      </c>
      <c r="K293" s="977">
        <v>0</v>
      </c>
      <c r="L293" s="436"/>
    </row>
    <row r="294" spans="3:12" s="993" customFormat="1" x14ac:dyDescent="0.2">
      <c r="C294" s="1010" t="s">
        <v>770</v>
      </c>
      <c r="D294" s="1011" t="str">
        <f>VLOOKUP(C294,'Valor Materiales'!B:E,2,0)</f>
        <v>Tubería Pvc Novaloc o similar 36"</v>
      </c>
      <c r="E294" s="1012" t="s">
        <v>1265</v>
      </c>
      <c r="F294" s="1013">
        <f>VLOOKUP(C294,'Valor Materiales'!B:E,4,0)</f>
        <v>821200</v>
      </c>
      <c r="G294" s="1014">
        <v>1.05</v>
      </c>
      <c r="H294" s="982">
        <v>0</v>
      </c>
      <c r="I294" s="1015">
        <f>+G294*F294</f>
        <v>862260</v>
      </c>
      <c r="J294" s="1016">
        <v>0</v>
      </c>
      <c r="K294" s="1017">
        <v>0</v>
      </c>
      <c r="L294" s="436"/>
    </row>
    <row r="295" spans="3:12" s="993" customFormat="1" x14ac:dyDescent="0.2">
      <c r="C295" s="984" t="s">
        <v>1376</v>
      </c>
      <c r="D295" s="979" t="s">
        <v>807</v>
      </c>
      <c r="E295" s="980" t="s">
        <v>905</v>
      </c>
      <c r="F295" s="981">
        <v>16500</v>
      </c>
      <c r="G295" s="1018">
        <v>0.20599999999999999</v>
      </c>
      <c r="H295" s="1019">
        <v>0</v>
      </c>
      <c r="I295" s="981">
        <f>+G295*F295</f>
        <v>3399</v>
      </c>
      <c r="J295" s="987">
        <v>0</v>
      </c>
      <c r="K295" s="988">
        <v>0</v>
      </c>
      <c r="L295" s="436"/>
    </row>
    <row r="296" spans="3:12" s="993" customFormat="1" x14ac:dyDescent="0.2">
      <c r="C296" s="984" t="s">
        <v>1123</v>
      </c>
      <c r="D296" s="979" t="s">
        <v>1124</v>
      </c>
      <c r="E296" s="980" t="s">
        <v>905</v>
      </c>
      <c r="F296" s="981">
        <v>67174</v>
      </c>
      <c r="G296" s="1018">
        <v>4.19E-2</v>
      </c>
      <c r="H296" s="986">
        <v>0</v>
      </c>
      <c r="I296" s="981">
        <f>+G296*F296</f>
        <v>2814.5906</v>
      </c>
      <c r="J296" s="987">
        <v>0</v>
      </c>
      <c r="K296" s="988">
        <v>0</v>
      </c>
      <c r="L296" s="436"/>
    </row>
    <row r="297" spans="3:12" s="993" customFormat="1" ht="13.5" thickBot="1" x14ac:dyDescent="0.25">
      <c r="C297" s="989" t="s">
        <v>1599</v>
      </c>
      <c r="D297" s="990" t="s">
        <v>1585</v>
      </c>
      <c r="E297" s="991" t="s">
        <v>1583</v>
      </c>
      <c r="F297" s="962">
        <v>40371.471874999996</v>
      </c>
      <c r="G297" s="1006">
        <v>0.85</v>
      </c>
      <c r="H297" s="961">
        <v>0</v>
      </c>
      <c r="I297" s="962">
        <v>0</v>
      </c>
      <c r="J297" s="962">
        <f>+G297*F297</f>
        <v>34315.751093749997</v>
      </c>
      <c r="K297" s="963">
        <v>0</v>
      </c>
      <c r="L297" s="436"/>
    </row>
    <row r="298" spans="3:12" s="993" customFormat="1" ht="13.5" thickBot="1" x14ac:dyDescent="0.25">
      <c r="C298" s="992"/>
      <c r="E298" s="992"/>
      <c r="F298" s="994"/>
      <c r="G298" s="953"/>
      <c r="H298" s="1062">
        <f>SUM(H293:H297)*1.0373*1.05</f>
        <v>386.65357500000005</v>
      </c>
      <c r="I298" s="1062">
        <f>SUM(I293:I297)*1.0373*1.05</f>
        <v>945911.03830584907</v>
      </c>
      <c r="J298" s="1062">
        <f>SUM(J293:J297)*1.0373*1.05</f>
        <v>37375.51504002422</v>
      </c>
      <c r="K298" s="1063">
        <f>SUM(K293:K297)*1.0373*1.05</f>
        <v>0</v>
      </c>
      <c r="L298" s="436"/>
    </row>
    <row r="299" spans="3:12" s="993" customFormat="1" x14ac:dyDescent="0.2">
      <c r="C299" s="992"/>
      <c r="E299" s="992"/>
      <c r="F299" s="994"/>
      <c r="G299" s="953"/>
      <c r="H299" s="1008"/>
      <c r="I299" s="1008"/>
      <c r="J299" s="1008"/>
      <c r="K299" s="1008"/>
      <c r="L299" s="436"/>
    </row>
    <row r="300" spans="3:12" s="993" customFormat="1" ht="13.5" thickBot="1" x14ac:dyDescent="0.25">
      <c r="C300" s="992"/>
      <c r="E300" s="992"/>
      <c r="F300" s="994"/>
      <c r="G300" s="953"/>
      <c r="H300" s="1051"/>
      <c r="I300" s="1051"/>
      <c r="J300" s="1051"/>
      <c r="K300" s="1051"/>
      <c r="L300" s="436"/>
    </row>
    <row r="301" spans="3:12" ht="13.5" thickBot="1" x14ac:dyDescent="0.25">
      <c r="C301" s="1715" t="s">
        <v>2402</v>
      </c>
      <c r="D301" s="1716"/>
      <c r="E301" s="1716"/>
      <c r="F301" s="1716"/>
      <c r="G301" s="1716"/>
      <c r="H301" s="1716"/>
      <c r="I301" s="1716"/>
      <c r="J301" s="1716"/>
      <c r="K301" s="1717"/>
      <c r="L301" s="436"/>
    </row>
    <row r="302" spans="3:12" s="993" customFormat="1" ht="13.5" thickBot="1" x14ac:dyDescent="0.25">
      <c r="C302" s="992"/>
      <c r="E302" s="992"/>
      <c r="F302" s="994"/>
      <c r="G302" s="953"/>
      <c r="H302" s="1008"/>
      <c r="I302" s="1008"/>
      <c r="J302" s="1008"/>
      <c r="K302" s="1008"/>
      <c r="L302" s="436"/>
    </row>
    <row r="303" spans="3:12" ht="13.5" thickBot="1" x14ac:dyDescent="0.25">
      <c r="C303" s="296" t="s">
        <v>1518</v>
      </c>
      <c r="D303" s="945" t="s">
        <v>1519</v>
      </c>
      <c r="E303" s="296" t="s">
        <v>931</v>
      </c>
      <c r="F303" s="946" t="s">
        <v>1532</v>
      </c>
      <c r="H303" s="241" t="s">
        <v>1523</v>
      </c>
      <c r="I303" s="240" t="s">
        <v>1524</v>
      </c>
      <c r="J303" s="242" t="s">
        <v>1525</v>
      </c>
      <c r="K303" s="243" t="s">
        <v>1526</v>
      </c>
      <c r="L303" s="436"/>
    </row>
    <row r="304" spans="3:12" ht="15" thickBot="1" x14ac:dyDescent="0.25">
      <c r="C304" s="1254" t="s">
        <v>2412</v>
      </c>
      <c r="D304" s="1255" t="s">
        <v>2413</v>
      </c>
      <c r="E304" s="1256" t="s">
        <v>905</v>
      </c>
      <c r="F304" s="1257">
        <f>SUM(H304:K304)</f>
        <v>1087041.44116104</v>
      </c>
      <c r="H304" s="731">
        <v>13574.699061000001</v>
      </c>
      <c r="I304" s="731">
        <f>SUM(I306:I318)</f>
        <v>944149.118625</v>
      </c>
      <c r="J304" s="731">
        <v>127630.77918129</v>
      </c>
      <c r="K304" s="731">
        <v>1686.8442937500001</v>
      </c>
      <c r="L304" s="436"/>
    </row>
    <row r="305" spans="3:12" ht="13.5" thickBot="1" x14ac:dyDescent="0.25">
      <c r="C305" s="237" t="s">
        <v>1521</v>
      </c>
      <c r="D305" s="238" t="s">
        <v>930</v>
      </c>
      <c r="E305" s="239" t="s">
        <v>931</v>
      </c>
      <c r="F305" s="240" t="s">
        <v>1522</v>
      </c>
      <c r="G305" s="158" t="s">
        <v>932</v>
      </c>
      <c r="H305" s="241" t="s">
        <v>1523</v>
      </c>
      <c r="I305" s="240" t="s">
        <v>1524</v>
      </c>
      <c r="J305" s="242" t="s">
        <v>1525</v>
      </c>
      <c r="K305" s="243" t="s">
        <v>1526</v>
      </c>
      <c r="L305" s="436"/>
    </row>
    <row r="306" spans="3:12" x14ac:dyDescent="0.2">
      <c r="C306" s="1199" t="s">
        <v>1619</v>
      </c>
      <c r="D306" s="1200" t="s">
        <v>1528</v>
      </c>
      <c r="E306" s="1201" t="s">
        <v>905</v>
      </c>
      <c r="F306" s="244">
        <f>VLOOKUP(C306,'Valor Materiales'!B:E,4,0)</f>
        <v>902</v>
      </c>
      <c r="G306" s="1200">
        <v>0.7</v>
      </c>
      <c r="H306" s="269">
        <v>631</v>
      </c>
      <c r="I306" s="270">
        <v>0</v>
      </c>
      <c r="J306" s="244">
        <v>0</v>
      </c>
      <c r="K306" s="245">
        <v>0</v>
      </c>
    </row>
    <row r="307" spans="3:12" x14ac:dyDescent="0.2">
      <c r="C307" s="1204" t="s">
        <v>1342</v>
      </c>
      <c r="D307" s="246" t="s">
        <v>729</v>
      </c>
      <c r="E307" s="247" t="s">
        <v>914</v>
      </c>
      <c r="F307" s="254">
        <f>VLOOKUP(C307,'Valor Materiales'!B:E,4,0)</f>
        <v>34800</v>
      </c>
      <c r="G307" s="252">
        <v>0.17</v>
      </c>
      <c r="H307" s="253">
        <v>5916</v>
      </c>
      <c r="I307" s="254">
        <v>0</v>
      </c>
      <c r="J307" s="248">
        <v>0</v>
      </c>
      <c r="K307" s="1203">
        <v>0</v>
      </c>
    </row>
    <row r="308" spans="3:12" s="1123" customFormat="1" ht="38.25" x14ac:dyDescent="0.2">
      <c r="C308" s="1258" t="str">
        <f>C230</f>
        <v>6.2.3</v>
      </c>
      <c r="D308" s="1259" t="str">
        <f>D230</f>
        <v xml:space="preserve">Suministro e Instalación Tubería Pvc Corrugada 250 m.m. (10") para Alcantarillado   Unión caucho (Según Norma NTC 3722 Y NTC5055)          </v>
      </c>
      <c r="E308" s="1260" t="str">
        <f>E230</f>
        <v>m</v>
      </c>
      <c r="F308" s="1261">
        <f>F230</f>
        <v>63626.982875000002</v>
      </c>
      <c r="G308" s="1262">
        <v>3</v>
      </c>
      <c r="H308" s="1263">
        <v>0</v>
      </c>
      <c r="I308" s="1261">
        <f>G308*F308</f>
        <v>190880.94862500002</v>
      </c>
      <c r="J308" s="1264">
        <v>0</v>
      </c>
      <c r="K308" s="1265">
        <v>0</v>
      </c>
      <c r="L308" s="159"/>
    </row>
    <row r="309" spans="3:12" x14ac:dyDescent="0.2">
      <c r="C309" s="1204" t="s">
        <v>1343</v>
      </c>
      <c r="D309" s="246" t="s">
        <v>730</v>
      </c>
      <c r="E309" s="247" t="s">
        <v>914</v>
      </c>
      <c r="F309" s="254">
        <f>VLOOKUP(C309,'Valor Materiales'!B:E,4,0)</f>
        <v>34800</v>
      </c>
      <c r="G309" s="1266">
        <v>0.17</v>
      </c>
      <c r="H309" s="253">
        <v>5916</v>
      </c>
      <c r="I309" s="254">
        <v>0</v>
      </c>
      <c r="J309" s="248">
        <v>0</v>
      </c>
      <c r="K309" s="1203">
        <v>0</v>
      </c>
    </row>
    <row r="310" spans="3:12" x14ac:dyDescent="0.2">
      <c r="C310" s="1267" t="s">
        <v>1290</v>
      </c>
      <c r="D310" s="246" t="s">
        <v>950</v>
      </c>
      <c r="E310" s="247" t="s">
        <v>938</v>
      </c>
      <c r="F310" s="254">
        <f>VLOOKUP(C310,'Valor Materiales'!B:E,4,0)</f>
        <v>264681</v>
      </c>
      <c r="G310" s="252">
        <v>0.72</v>
      </c>
      <c r="H310" s="253">
        <v>0</v>
      </c>
      <c r="I310" s="254">
        <v>190570.32</v>
      </c>
      <c r="J310" s="251">
        <v>0</v>
      </c>
      <c r="K310" s="255">
        <v>0</v>
      </c>
    </row>
    <row r="311" spans="3:12" x14ac:dyDescent="0.2">
      <c r="C311" s="1206" t="s">
        <v>1254</v>
      </c>
      <c r="D311" s="252" t="s">
        <v>1255</v>
      </c>
      <c r="E311" s="256" t="s">
        <v>905</v>
      </c>
      <c r="F311" s="254">
        <f>VLOOKUP(C311,'Valor Materiales'!B:E,4,0)</f>
        <v>900</v>
      </c>
      <c r="G311" s="1207">
        <v>6.4089999999999998</v>
      </c>
      <c r="H311" s="250">
        <v>0</v>
      </c>
      <c r="I311" s="254">
        <v>5768.0999999999995</v>
      </c>
      <c r="J311" s="258">
        <v>0</v>
      </c>
      <c r="K311" s="259">
        <v>0</v>
      </c>
    </row>
    <row r="312" spans="3:12" x14ac:dyDescent="0.2">
      <c r="C312" s="1206" t="s">
        <v>1300</v>
      </c>
      <c r="D312" s="252" t="s">
        <v>2030</v>
      </c>
      <c r="E312" s="256" t="s">
        <v>936</v>
      </c>
      <c r="F312" s="254">
        <f>VLOOKUP(C312,'Valor Materiales'!B:E,4,0)</f>
        <v>3900</v>
      </c>
      <c r="G312" s="1207">
        <v>11.59</v>
      </c>
      <c r="H312" s="253">
        <v>0</v>
      </c>
      <c r="I312" s="254">
        <v>34770</v>
      </c>
      <c r="J312" s="258">
        <v>0</v>
      </c>
      <c r="K312" s="259">
        <v>0</v>
      </c>
    </row>
    <row r="313" spans="3:12" x14ac:dyDescent="0.2">
      <c r="C313" s="1206" t="s">
        <v>1639</v>
      </c>
      <c r="D313" s="252" t="s">
        <v>995</v>
      </c>
      <c r="E313" s="256" t="s">
        <v>938</v>
      </c>
      <c r="F313" s="254">
        <f>VLOOKUP(C313,'Valor Materiales'!B:E,4,0)</f>
        <v>1065</v>
      </c>
      <c r="G313" s="1207">
        <v>0.15</v>
      </c>
      <c r="H313" s="250">
        <v>0</v>
      </c>
      <c r="I313" s="254">
        <v>159.75</v>
      </c>
      <c r="J313" s="258">
        <v>0</v>
      </c>
      <c r="K313" s="259">
        <v>0</v>
      </c>
    </row>
    <row r="314" spans="3:12" x14ac:dyDescent="0.2">
      <c r="C314" s="1206" t="s">
        <v>17</v>
      </c>
      <c r="D314" s="252" t="s">
        <v>1409</v>
      </c>
      <c r="E314" s="256" t="s">
        <v>905</v>
      </c>
      <c r="F314" s="254">
        <f>VLOOKUP(C314,'Valor Materiales'!B:E,4,0)</f>
        <v>133400</v>
      </c>
      <c r="G314" s="1207">
        <v>2</v>
      </c>
      <c r="H314" s="253">
        <v>0</v>
      </c>
      <c r="I314" s="254">
        <v>266800</v>
      </c>
      <c r="J314" s="258">
        <v>0</v>
      </c>
      <c r="K314" s="259">
        <v>0</v>
      </c>
    </row>
    <row r="315" spans="3:12" x14ac:dyDescent="0.2">
      <c r="C315" s="1206" t="s">
        <v>14</v>
      </c>
      <c r="D315" s="252" t="s">
        <v>1406</v>
      </c>
      <c r="E315" s="256" t="s">
        <v>905</v>
      </c>
      <c r="F315" s="254">
        <f>VLOOKUP(C315,'Valor Materiales'!B:E,4,0)</f>
        <v>255200</v>
      </c>
      <c r="G315" s="1207">
        <v>1</v>
      </c>
      <c r="H315" s="253">
        <v>0</v>
      </c>
      <c r="I315" s="254">
        <v>255200</v>
      </c>
      <c r="J315" s="258">
        <v>0</v>
      </c>
      <c r="K315" s="259">
        <v>0</v>
      </c>
    </row>
    <row r="316" spans="3:12" x14ac:dyDescent="0.2">
      <c r="C316" s="1206" t="s">
        <v>1331</v>
      </c>
      <c r="D316" s="252" t="s">
        <v>2067</v>
      </c>
      <c r="E316" s="256" t="s">
        <v>905</v>
      </c>
      <c r="F316" s="254">
        <f>VLOOKUP(C316,'Valor Materiales'!B:E,4,0)</f>
        <v>5421</v>
      </c>
      <c r="G316" s="1207">
        <v>7.0000000000000007E-2</v>
      </c>
      <c r="H316" s="1268">
        <v>0</v>
      </c>
      <c r="I316" s="254">
        <v>0</v>
      </c>
      <c r="J316" s="258">
        <v>0</v>
      </c>
      <c r="K316" s="259">
        <v>379.47</v>
      </c>
    </row>
    <row r="317" spans="3:12" x14ac:dyDescent="0.2">
      <c r="C317" s="1206" t="s">
        <v>1345</v>
      </c>
      <c r="D317" s="252" t="s">
        <v>1668</v>
      </c>
      <c r="E317" s="256" t="s">
        <v>1669</v>
      </c>
      <c r="F317" s="254">
        <f>VLOOKUP(C317,'Valor Materiales'!B:E,4,0)</f>
        <v>927.99999999999989</v>
      </c>
      <c r="G317" s="1207">
        <v>1.26</v>
      </c>
      <c r="H317" s="1268">
        <v>0</v>
      </c>
      <c r="I317" s="254">
        <v>0</v>
      </c>
      <c r="J317" s="258">
        <v>0</v>
      </c>
      <c r="K317" s="259">
        <v>1169.28</v>
      </c>
    </row>
    <row r="318" spans="3:12" ht="13.5" thickBot="1" x14ac:dyDescent="0.25">
      <c r="C318" s="1208" t="s">
        <v>1603</v>
      </c>
      <c r="D318" s="147" t="s">
        <v>1589</v>
      </c>
      <c r="E318" s="260" t="s">
        <v>1583</v>
      </c>
      <c r="F318" s="261">
        <f>VLOOKUP(C318,'Valor Materiales'!B:E,4,0)</f>
        <v>60228.875</v>
      </c>
      <c r="G318" s="147">
        <v>1.92</v>
      </c>
      <c r="H318" s="263">
        <v>0</v>
      </c>
      <c r="I318" s="261">
        <v>0</v>
      </c>
      <c r="J318" s="261">
        <v>117182.22599999998</v>
      </c>
      <c r="K318" s="264">
        <v>0</v>
      </c>
    </row>
    <row r="319" spans="3:12" ht="13.5" thickBot="1" x14ac:dyDescent="0.25">
      <c r="F319" s="266"/>
      <c r="H319" s="267">
        <v>13575</v>
      </c>
      <c r="I319" s="267">
        <f>SUM(I306:I318)</f>
        <v>944149.118625</v>
      </c>
      <c r="J319" s="267">
        <v>127630.77918129</v>
      </c>
      <c r="K319" s="267">
        <v>1686.8442937500001</v>
      </c>
    </row>
    <row r="320" spans="3:12" ht="13.5" thickBot="1" x14ac:dyDescent="0.25">
      <c r="F320" s="266"/>
      <c r="H320" s="1209"/>
      <c r="I320" s="1209"/>
      <c r="J320" s="1209"/>
      <c r="K320" s="1209"/>
    </row>
    <row r="321" spans="2:12" s="436" customFormat="1" ht="13.5" thickBot="1" x14ac:dyDescent="0.25">
      <c r="C321" s="1215" t="s">
        <v>1518</v>
      </c>
      <c r="D321" s="1216" t="s">
        <v>1519</v>
      </c>
      <c r="E321" s="1215" t="s">
        <v>931</v>
      </c>
      <c r="F321" s="737" t="s">
        <v>1532</v>
      </c>
      <c r="G321" s="734"/>
      <c r="H321" s="454" t="s">
        <v>1523</v>
      </c>
      <c r="I321" s="452" t="s">
        <v>1524</v>
      </c>
      <c r="J321" s="455" t="s">
        <v>1525</v>
      </c>
      <c r="K321" s="456" t="s">
        <v>1526</v>
      </c>
      <c r="L321" s="159"/>
    </row>
    <row r="322" spans="2:12" s="436" customFormat="1" ht="26.25" thickBot="1" x14ac:dyDescent="0.25">
      <c r="C322" s="1269" t="s">
        <v>2403</v>
      </c>
      <c r="D322" s="1221" t="s">
        <v>2404</v>
      </c>
      <c r="E322" s="1270" t="s">
        <v>1265</v>
      </c>
      <c r="F322" s="1271">
        <f>SUM(H333:K333,0)</f>
        <v>363884.97435368929</v>
      </c>
      <c r="G322" s="734"/>
      <c r="H322" s="437">
        <f>+H333</f>
        <v>13412.958058500002</v>
      </c>
      <c r="I322" s="437">
        <f>+I333</f>
        <v>260107.12024270053</v>
      </c>
      <c r="J322" s="437">
        <f>+J333</f>
        <v>87509.309640926265</v>
      </c>
      <c r="K322" s="437">
        <f>+K333</f>
        <v>2855.5864115625004</v>
      </c>
      <c r="L322" s="159"/>
    </row>
    <row r="323" spans="2:12" s="436" customFormat="1" ht="13.5" thickBot="1" x14ac:dyDescent="0.25">
      <c r="C323" s="449" t="s">
        <v>1521</v>
      </c>
      <c r="D323" s="450" t="s">
        <v>930</v>
      </c>
      <c r="E323" s="451" t="s">
        <v>931</v>
      </c>
      <c r="F323" s="452" t="s">
        <v>1522</v>
      </c>
      <c r="G323" s="453" t="s">
        <v>932</v>
      </c>
      <c r="H323" s="454" t="s">
        <v>1523</v>
      </c>
      <c r="I323" s="452" t="s">
        <v>1524</v>
      </c>
      <c r="J323" s="455" t="s">
        <v>1525</v>
      </c>
      <c r="K323" s="456" t="s">
        <v>1526</v>
      </c>
      <c r="L323" s="159"/>
    </row>
    <row r="324" spans="2:12" s="436" customFormat="1" x14ac:dyDescent="0.2">
      <c r="C324" s="1272" t="s">
        <v>1619</v>
      </c>
      <c r="D324" s="1079" t="str">
        <f>VLOOKUP(C324,'Valor Materiales'!B:E,2,0)</f>
        <v>Herramienta Menor General</v>
      </c>
      <c r="E324" s="1078" t="str">
        <f>VLOOKUP(C324,'Valor Materiales'!B:E,3,0)</f>
        <v>Un</v>
      </c>
      <c r="F324" s="1227">
        <f>VLOOKUP(C324,'Valor Materiales'!B:E,4,0)</f>
        <v>902</v>
      </c>
      <c r="G324" s="1273">
        <v>0.79</v>
      </c>
      <c r="H324" s="1274">
        <f>+G324*F324</f>
        <v>712.58</v>
      </c>
      <c r="I324" s="1275">
        <v>0</v>
      </c>
      <c r="J324" s="1227">
        <v>0</v>
      </c>
      <c r="K324" s="1228">
        <v>0</v>
      </c>
      <c r="L324" s="159"/>
    </row>
    <row r="325" spans="2:12" s="436" customFormat="1" x14ac:dyDescent="0.2">
      <c r="C325" s="469" t="s">
        <v>1342</v>
      </c>
      <c r="D325" s="1079" t="str">
        <f>VLOOKUP(C325,'Valor Materiales'!B:E,2,0)</f>
        <v>Alquiler Mezcladora 1 Saco a Gasolina</v>
      </c>
      <c r="E325" s="1078" t="str">
        <f>VLOOKUP(C325,'Valor Materiales'!B:E,3,0)</f>
        <v>Día</v>
      </c>
      <c r="F325" s="1227">
        <f>VLOOKUP(C325,'Valor Materiales'!B:E,4,0)</f>
        <v>34800</v>
      </c>
      <c r="G325" s="446">
        <v>0.16669999999999999</v>
      </c>
      <c r="H325" s="739">
        <f>+G325*F325</f>
        <v>5801.16</v>
      </c>
      <c r="I325" s="447">
        <v>0</v>
      </c>
      <c r="J325" s="1227">
        <v>0</v>
      </c>
      <c r="K325" s="1228">
        <v>0</v>
      </c>
      <c r="L325" s="159"/>
    </row>
    <row r="326" spans="2:12" s="436" customFormat="1" x14ac:dyDescent="0.2">
      <c r="C326" s="469" t="s">
        <v>1343</v>
      </c>
      <c r="D326" s="1079" t="str">
        <f>VLOOKUP(C326,'Valor Materiales'!B:E,2,0)</f>
        <v>Alquiler Vibrador Eléctrico</v>
      </c>
      <c r="E326" s="1078" t="str">
        <f>VLOOKUP(C326,'Valor Materiales'!B:E,3,0)</f>
        <v>Día</v>
      </c>
      <c r="F326" s="1227">
        <f>VLOOKUP(C326,'Valor Materiales'!B:E,4,0)</f>
        <v>34800</v>
      </c>
      <c r="G326" s="1276">
        <v>0.16669999999999999</v>
      </c>
      <c r="H326" s="739">
        <f>+G326*F326</f>
        <v>5801.16</v>
      </c>
      <c r="I326" s="447">
        <v>0</v>
      </c>
      <c r="J326" s="1227">
        <v>0</v>
      </c>
      <c r="K326" s="1228">
        <v>0</v>
      </c>
      <c r="L326" s="159"/>
    </row>
    <row r="327" spans="2:12" s="436" customFormat="1" x14ac:dyDescent="0.2">
      <c r="C327" s="1277" t="s">
        <v>1290</v>
      </c>
      <c r="D327" s="1079" t="str">
        <f>VLOOKUP(C327,'Valor Materiales'!B:E,2,0)</f>
        <v>Concreto Clase II (21Mpa) Producido en Obra</v>
      </c>
      <c r="E327" s="1078" t="str">
        <f>VLOOKUP(C327,'Valor Materiales'!B:E,3,0)</f>
        <v>M3</v>
      </c>
      <c r="F327" s="1227">
        <f>VLOOKUP(C327,'Valor Materiales'!B:E,4,0)</f>
        <v>264681</v>
      </c>
      <c r="G327" s="446">
        <v>0.81369999999999998</v>
      </c>
      <c r="H327" s="739">
        <v>0</v>
      </c>
      <c r="I327" s="447">
        <f>+G327*F327</f>
        <v>215370.92970000001</v>
      </c>
      <c r="J327" s="1275">
        <v>0</v>
      </c>
      <c r="K327" s="1278">
        <v>0</v>
      </c>
      <c r="L327" s="159"/>
    </row>
    <row r="328" spans="2:12" s="436" customFormat="1" x14ac:dyDescent="0.2">
      <c r="C328" s="1243" t="s">
        <v>16</v>
      </c>
      <c r="D328" s="446" t="str">
        <f>VLOOKUP(C328,'Valor Materiales'!B:E,2,0)</f>
        <v>Formaleta metálica para Cámara Circular</v>
      </c>
      <c r="E328" s="1229" t="str">
        <f>VLOOKUP(C328,'Valor Materiales'!B:E,3,0)</f>
        <v>Día</v>
      </c>
      <c r="F328" s="447">
        <f>VLOOKUP(C328,'Valor Materiales'!B:E,4,0)</f>
        <v>9280</v>
      </c>
      <c r="G328" s="1279">
        <v>1.03</v>
      </c>
      <c r="H328" s="1274">
        <v>0</v>
      </c>
      <c r="I328" s="447">
        <f>+G328*F328</f>
        <v>9558.4</v>
      </c>
      <c r="J328" s="1224">
        <v>0</v>
      </c>
      <c r="K328" s="1225">
        <v>0</v>
      </c>
      <c r="L328" s="159"/>
    </row>
    <row r="329" spans="2:12" s="436" customFormat="1" x14ac:dyDescent="0.2">
      <c r="B329" s="438"/>
      <c r="C329" s="1243" t="s">
        <v>1300</v>
      </c>
      <c r="D329" s="446" t="str">
        <f>VLOOKUP(C329,'Valor Materiales'!B:E,2,0)</f>
        <v>Acero de Refuerzo 1/2" a 1 1/4" de 420 MPa</v>
      </c>
      <c r="E329" s="1229" t="str">
        <f>VLOOKUP(C329,'Valor Materiales'!B:E,3,0)</f>
        <v>Kg</v>
      </c>
      <c r="F329" s="447">
        <f>VLOOKUP(C329,'Valor Materiales'!B:E,4,0)</f>
        <v>3900</v>
      </c>
      <c r="G329" s="1279">
        <v>3.56</v>
      </c>
      <c r="H329" s="739">
        <v>0</v>
      </c>
      <c r="I329" s="447">
        <f>+G329*F329</f>
        <v>13884</v>
      </c>
      <c r="J329" s="1224">
        <v>0</v>
      </c>
      <c r="K329" s="1225">
        <v>0</v>
      </c>
      <c r="L329" s="159"/>
    </row>
    <row r="330" spans="2:12" s="436" customFormat="1" x14ac:dyDescent="0.2">
      <c r="C330" s="1243" t="s">
        <v>1331</v>
      </c>
      <c r="D330" s="446" t="str">
        <f>VLOOKUP(C330,'Valor Materiales'!B:E,2,0)</f>
        <v>Ensayo de Resistencia a la Compresión del Concreto</v>
      </c>
      <c r="E330" s="1229" t="str">
        <f>VLOOKUP(C330,'Valor Materiales'!B:E,3,0)</f>
        <v>Un</v>
      </c>
      <c r="F330" s="447">
        <f>VLOOKUP(C330,'Valor Materiales'!B:E,4,0)</f>
        <v>5421</v>
      </c>
      <c r="G330" s="1279">
        <v>0.11849999999999999</v>
      </c>
      <c r="H330" s="1223">
        <v>0</v>
      </c>
      <c r="I330" s="447">
        <v>0</v>
      </c>
      <c r="J330" s="1224">
        <v>0</v>
      </c>
      <c r="K330" s="1225">
        <f>+G330*F330</f>
        <v>642.38850000000002</v>
      </c>
      <c r="L330" s="159"/>
    </row>
    <row r="331" spans="2:12" s="436" customFormat="1" x14ac:dyDescent="0.2">
      <c r="C331" s="1243" t="s">
        <v>1345</v>
      </c>
      <c r="D331" s="446" t="str">
        <f>VLOOKUP(C331,'Valor Materiales'!B:E,2,0)</f>
        <v>Alquiler Formaletas para Cilindros de Concreto</v>
      </c>
      <c r="E331" s="1229" t="str">
        <f>VLOOKUP(C331,'Valor Materiales'!B:E,3,0)</f>
        <v>Día - Unidad</v>
      </c>
      <c r="F331" s="447">
        <f>VLOOKUP(C331,'Valor Materiales'!B:E,4,0)</f>
        <v>927.99999999999989</v>
      </c>
      <c r="G331" s="1279">
        <v>2.133</v>
      </c>
      <c r="H331" s="1223">
        <v>0</v>
      </c>
      <c r="I331" s="447">
        <v>0</v>
      </c>
      <c r="J331" s="1224">
        <v>0</v>
      </c>
      <c r="K331" s="1225">
        <f>+G331*F331</f>
        <v>1979.4239999999998</v>
      </c>
      <c r="L331" s="159"/>
    </row>
    <row r="332" spans="2:12" s="436" customFormat="1" ht="13.5" thickBot="1" x14ac:dyDescent="0.25">
      <c r="C332" s="471" t="s">
        <v>1603</v>
      </c>
      <c r="D332" s="439" t="str">
        <f>VLOOKUP(C332,'Valor Materiales'!B:E,2,0)</f>
        <v>Cuadrilla tipo VII - Producción e Instalación Concreto</v>
      </c>
      <c r="E332" s="1230" t="str">
        <f>VLOOKUP(C332,'Valor Materiales'!B:E,3,0)</f>
        <v>Hr</v>
      </c>
      <c r="F332" s="472">
        <f>VLOOKUP(C332,'Valor Materiales'!B:E,4,0)</f>
        <v>60228.875</v>
      </c>
      <c r="G332" s="470">
        <v>1.3340000000000001</v>
      </c>
      <c r="H332" s="741">
        <v>0</v>
      </c>
      <c r="I332" s="472">
        <v>0</v>
      </c>
      <c r="J332" s="472">
        <f>+G332*F332</f>
        <v>80345.31925</v>
      </c>
      <c r="K332" s="742">
        <v>0</v>
      </c>
      <c r="L332" s="159"/>
    </row>
    <row r="333" spans="2:12" s="436" customFormat="1" ht="13.5" thickBot="1" x14ac:dyDescent="0.25">
      <c r="C333" s="1231"/>
      <c r="E333" s="1231"/>
      <c r="F333" s="733"/>
      <c r="G333" s="734"/>
      <c r="H333" s="735">
        <f>SUM(H324:H332)*1.0373*1.05</f>
        <v>13412.958058500002</v>
      </c>
      <c r="I333" s="735">
        <f>SUM(I324:I332)*1.0373*1.05</f>
        <v>260107.12024270053</v>
      </c>
      <c r="J333" s="735">
        <f>SUM(J324:J332)*1.0373*1.05</f>
        <v>87509.309640926265</v>
      </c>
      <c r="K333" s="735">
        <f>SUM(K324:K332)*1.0373*1.05</f>
        <v>2855.5864115625004</v>
      </c>
      <c r="L333" s="159"/>
    </row>
    <row r="334" spans="2:12" s="436" customFormat="1" ht="13.5" thickBot="1" x14ac:dyDescent="0.25">
      <c r="C334" s="1231"/>
      <c r="E334" s="1231"/>
      <c r="F334" s="733"/>
      <c r="G334" s="734"/>
      <c r="H334" s="733"/>
      <c r="I334" s="733"/>
      <c r="J334" s="733"/>
      <c r="K334" s="733"/>
      <c r="L334" s="159"/>
    </row>
    <row r="335" spans="2:12" s="436" customFormat="1" ht="13.5" thickBot="1" x14ac:dyDescent="0.25">
      <c r="C335" s="1215" t="s">
        <v>1518</v>
      </c>
      <c r="D335" s="1216" t="s">
        <v>1519</v>
      </c>
      <c r="E335" s="1215" t="s">
        <v>931</v>
      </c>
      <c r="F335" s="737" t="s">
        <v>1532</v>
      </c>
      <c r="G335" s="734"/>
      <c r="H335" s="454" t="s">
        <v>1523</v>
      </c>
      <c r="I335" s="452" t="s">
        <v>1524</v>
      </c>
      <c r="J335" s="455" t="s">
        <v>1525</v>
      </c>
      <c r="K335" s="456" t="s">
        <v>1526</v>
      </c>
      <c r="L335" s="159"/>
    </row>
    <row r="336" spans="2:12" s="436" customFormat="1" ht="26.25" thickBot="1" x14ac:dyDescent="0.25">
      <c r="C336" s="1269" t="s">
        <v>2405</v>
      </c>
      <c r="D336" s="1221" t="s">
        <v>2406</v>
      </c>
      <c r="E336" s="1270" t="s">
        <v>905</v>
      </c>
      <c r="F336" s="1271">
        <f>SUM(H344:K344,0)</f>
        <v>309312.10547587351</v>
      </c>
      <c r="G336" s="734"/>
      <c r="H336" s="437">
        <f>+H344</f>
        <v>8910.2194665330007</v>
      </c>
      <c r="I336" s="437">
        <f>+I344</f>
        <v>194503.38053696553</v>
      </c>
      <c r="J336" s="437">
        <f>+J344</f>
        <v>104958.69222300003</v>
      </c>
      <c r="K336" s="437">
        <f>+K344</f>
        <v>939.81324937500005</v>
      </c>
      <c r="L336" s="159"/>
    </row>
    <row r="337" spans="2:12" s="436" customFormat="1" ht="13.5" thickBot="1" x14ac:dyDescent="0.25">
      <c r="C337" s="449" t="s">
        <v>1521</v>
      </c>
      <c r="D337" s="450" t="s">
        <v>930</v>
      </c>
      <c r="E337" s="451" t="s">
        <v>931</v>
      </c>
      <c r="F337" s="452" t="s">
        <v>1522</v>
      </c>
      <c r="G337" s="453" t="s">
        <v>932</v>
      </c>
      <c r="H337" s="454" t="s">
        <v>1523</v>
      </c>
      <c r="I337" s="452" t="s">
        <v>1524</v>
      </c>
      <c r="J337" s="455" t="s">
        <v>1525</v>
      </c>
      <c r="K337" s="456" t="s">
        <v>1526</v>
      </c>
      <c r="L337" s="159"/>
    </row>
    <row r="338" spans="2:12" s="436" customFormat="1" x14ac:dyDescent="0.2">
      <c r="C338" s="1272" t="s">
        <v>1619</v>
      </c>
      <c r="D338" s="1079" t="str">
        <f>VLOOKUP(C338,'Valor Materiales'!B:E,2,0)</f>
        <v>Herramienta Menor General</v>
      </c>
      <c r="E338" s="1078" t="str">
        <f>VLOOKUP(C338,'Valor Materiales'!B:E,3,0)</f>
        <v>Un</v>
      </c>
      <c r="F338" s="1227">
        <f>VLOOKUP(C338,'Valor Materiales'!B:E,4,0)</f>
        <v>902</v>
      </c>
      <c r="G338" s="1273">
        <v>0.65510000000000002</v>
      </c>
      <c r="H338" s="1274">
        <f>+G338*F338</f>
        <v>590.90020000000004</v>
      </c>
      <c r="I338" s="1275">
        <v>0</v>
      </c>
      <c r="J338" s="1227">
        <v>0</v>
      </c>
      <c r="K338" s="1228">
        <v>0</v>
      </c>
      <c r="L338" s="159"/>
    </row>
    <row r="339" spans="2:12" s="436" customFormat="1" x14ac:dyDescent="0.2">
      <c r="C339" s="469" t="s">
        <v>1342</v>
      </c>
      <c r="D339" s="1079" t="str">
        <f>VLOOKUP(C339,'Valor Materiales'!B:E,2,0)</f>
        <v>Alquiler Mezcladora 1 Saco a Gasolina</v>
      </c>
      <c r="E339" s="1078" t="str">
        <f>VLOOKUP(C339,'Valor Materiales'!B:E,3,0)</f>
        <v>Día</v>
      </c>
      <c r="F339" s="1227">
        <f>VLOOKUP(C339,'Valor Materiales'!B:E,4,0)</f>
        <v>34800</v>
      </c>
      <c r="G339" s="446">
        <v>0.21809999999999999</v>
      </c>
      <c r="H339" s="739">
        <f>+G339*F339</f>
        <v>7589.8799999999992</v>
      </c>
      <c r="I339" s="447">
        <v>0</v>
      </c>
      <c r="J339" s="1227">
        <v>0</v>
      </c>
      <c r="K339" s="1228">
        <v>0</v>
      </c>
      <c r="L339" s="159"/>
    </row>
    <row r="340" spans="2:12" s="436" customFormat="1" x14ac:dyDescent="0.2">
      <c r="C340" s="1277" t="s">
        <v>1290</v>
      </c>
      <c r="D340" s="1079" t="str">
        <f>VLOOKUP(C340,'Valor Materiales'!B:E,2,0)</f>
        <v>Concreto Clase II (21Mpa) Producido en Obra</v>
      </c>
      <c r="E340" s="1078" t="str">
        <f>VLOOKUP(C340,'Valor Materiales'!B:E,3,0)</f>
        <v>M3</v>
      </c>
      <c r="F340" s="1227">
        <f>VLOOKUP(C340,'Valor Materiales'!B:E,4,0)</f>
        <v>264681</v>
      </c>
      <c r="G340" s="446">
        <v>0.67469999999999997</v>
      </c>
      <c r="H340" s="739">
        <v>0</v>
      </c>
      <c r="I340" s="447">
        <f>+G340*F340</f>
        <v>178580.27069999999</v>
      </c>
      <c r="J340" s="1275">
        <v>0</v>
      </c>
      <c r="K340" s="1278">
        <v>0</v>
      </c>
      <c r="L340" s="159"/>
    </row>
    <row r="341" spans="2:12" s="436" customFormat="1" x14ac:dyDescent="0.2">
      <c r="C341" s="1243" t="s">
        <v>1331</v>
      </c>
      <c r="D341" s="446" t="str">
        <f>VLOOKUP(C341,'Valor Materiales'!B:E,2,0)</f>
        <v>Ensayo de Resistencia a la Compresión del Concreto</v>
      </c>
      <c r="E341" s="1229" t="str">
        <f>VLOOKUP(C341,'Valor Materiales'!B:E,3,0)</f>
        <v>Un</v>
      </c>
      <c r="F341" s="447">
        <f>VLOOKUP(C341,'Valor Materiales'!B:E,4,0)</f>
        <v>5421</v>
      </c>
      <c r="G341" s="1279">
        <v>3.9E-2</v>
      </c>
      <c r="H341" s="1223">
        <v>0</v>
      </c>
      <c r="I341" s="447">
        <v>0</v>
      </c>
      <c r="J341" s="1224">
        <v>0</v>
      </c>
      <c r="K341" s="1225">
        <f>+G341*F341</f>
        <v>211.41900000000001</v>
      </c>
      <c r="L341" s="159"/>
    </row>
    <row r="342" spans="2:12" s="436" customFormat="1" x14ac:dyDescent="0.2">
      <c r="C342" s="1243" t="s">
        <v>1345</v>
      </c>
      <c r="D342" s="446" t="str">
        <f>VLOOKUP(C342,'Valor Materiales'!B:E,2,0)</f>
        <v>Alquiler Formaletas para Cilindros de Concreto</v>
      </c>
      <c r="E342" s="1229" t="str">
        <f>VLOOKUP(C342,'Valor Materiales'!B:E,3,0)</f>
        <v>Día - Unidad</v>
      </c>
      <c r="F342" s="447">
        <f>VLOOKUP(C342,'Valor Materiales'!B:E,4,0)</f>
        <v>927.99999999999989</v>
      </c>
      <c r="G342" s="1279">
        <v>0.70199999999999996</v>
      </c>
      <c r="H342" s="1223">
        <v>0</v>
      </c>
      <c r="I342" s="447">
        <v>0</v>
      </c>
      <c r="J342" s="1224">
        <v>0</v>
      </c>
      <c r="K342" s="1225">
        <f>+G342*F342</f>
        <v>651.4559999999999</v>
      </c>
      <c r="L342" s="159"/>
    </row>
    <row r="343" spans="2:12" s="436" customFormat="1" ht="13.5" thickBot="1" x14ac:dyDescent="0.25">
      <c r="C343" s="471" t="s">
        <v>1603</v>
      </c>
      <c r="D343" s="439" t="str">
        <f>VLOOKUP(C343,'Valor Materiales'!B:E,2,0)</f>
        <v>Cuadrilla tipo VII - Producción e Instalación Concreto</v>
      </c>
      <c r="E343" s="1230" t="str">
        <f>VLOOKUP(C343,'Valor Materiales'!B:E,3,0)</f>
        <v>Hr</v>
      </c>
      <c r="F343" s="472">
        <f>VLOOKUP(C343,'Valor Materiales'!B:E,4,0)</f>
        <v>60228.875</v>
      </c>
      <c r="G343" s="470">
        <v>1.6</v>
      </c>
      <c r="H343" s="741">
        <v>0</v>
      </c>
      <c r="I343" s="472">
        <v>0</v>
      </c>
      <c r="J343" s="472">
        <f>+G343*F343</f>
        <v>96366.200000000012</v>
      </c>
      <c r="K343" s="742">
        <v>0</v>
      </c>
      <c r="L343" s="159"/>
    </row>
    <row r="344" spans="2:12" s="436" customFormat="1" ht="13.5" thickBot="1" x14ac:dyDescent="0.25">
      <c r="C344" s="1231"/>
      <c r="E344" s="1231"/>
      <c r="F344" s="733"/>
      <c r="G344" s="734"/>
      <c r="H344" s="735">
        <f>SUM(H338:H343)*1.0373*1.05</f>
        <v>8910.2194665330007</v>
      </c>
      <c r="I344" s="735">
        <f>SUM(I338:I343)*1.0373*1.05</f>
        <v>194503.38053696553</v>
      </c>
      <c r="J344" s="735">
        <f>SUM(J338:J343)*1.0373*1.05</f>
        <v>104958.69222300003</v>
      </c>
      <c r="K344" s="735">
        <f>SUM(K338:K343)*1.0373*1.05</f>
        <v>939.81324937500005</v>
      </c>
      <c r="L344" s="159"/>
    </row>
    <row r="345" spans="2:12" s="436" customFormat="1" ht="13.5" thickBot="1" x14ac:dyDescent="0.25">
      <c r="C345" s="1231"/>
      <c r="E345" s="1231"/>
      <c r="F345" s="733"/>
      <c r="G345" s="734"/>
      <c r="H345" s="736"/>
      <c r="I345" s="736"/>
      <c r="J345" s="736"/>
      <c r="K345" s="736"/>
      <c r="L345" s="159"/>
    </row>
    <row r="346" spans="2:12" s="436" customFormat="1" ht="13.5" thickBot="1" x14ac:dyDescent="0.25">
      <c r="C346" s="1215" t="s">
        <v>1518</v>
      </c>
      <c r="D346" s="1216" t="s">
        <v>1519</v>
      </c>
      <c r="E346" s="1215" t="s">
        <v>931</v>
      </c>
      <c r="F346" s="737" t="s">
        <v>1532</v>
      </c>
      <c r="G346" s="734"/>
      <c r="H346" s="454" t="s">
        <v>1523</v>
      </c>
      <c r="I346" s="452" t="s">
        <v>1524</v>
      </c>
      <c r="J346" s="455" t="s">
        <v>1525</v>
      </c>
      <c r="K346" s="456" t="s">
        <v>1526</v>
      </c>
      <c r="L346" s="159"/>
    </row>
    <row r="347" spans="2:12" s="436" customFormat="1" ht="15.75" thickBot="1" x14ac:dyDescent="0.3">
      <c r="B347" s="438"/>
      <c r="C347" s="1269" t="s">
        <v>2407</v>
      </c>
      <c r="D347" s="1221" t="s">
        <v>2408</v>
      </c>
      <c r="E347" s="1270" t="s">
        <v>905</v>
      </c>
      <c r="F347" s="1271">
        <f>SUM(H352:K352,0)</f>
        <v>253462.35090618755</v>
      </c>
      <c r="G347" s="734"/>
      <c r="H347" s="437">
        <f>+H352</f>
        <v>982.42683000000011</v>
      </c>
      <c r="I347" s="437">
        <f>+I352</f>
        <v>222407.49300000005</v>
      </c>
      <c r="J347" s="437">
        <f>+J352</f>
        <v>30072.431076187502</v>
      </c>
      <c r="K347" s="437">
        <f>+K352</f>
        <v>0</v>
      </c>
      <c r="L347" s="743"/>
    </row>
    <row r="348" spans="2:12" s="436" customFormat="1" ht="15.75" thickBot="1" x14ac:dyDescent="0.3">
      <c r="C348" s="449" t="s">
        <v>1521</v>
      </c>
      <c r="D348" s="450" t="s">
        <v>930</v>
      </c>
      <c r="E348" s="451" t="s">
        <v>931</v>
      </c>
      <c r="F348" s="452" t="s">
        <v>1522</v>
      </c>
      <c r="G348" s="453" t="s">
        <v>932</v>
      </c>
      <c r="H348" s="454" t="s">
        <v>1523</v>
      </c>
      <c r="I348" s="452" t="s">
        <v>1524</v>
      </c>
      <c r="J348" s="455" t="s">
        <v>1525</v>
      </c>
      <c r="K348" s="456" t="s">
        <v>1526</v>
      </c>
      <c r="L348" s="743"/>
    </row>
    <row r="349" spans="2:12" s="436" customFormat="1" ht="15" x14ac:dyDescent="0.25">
      <c r="C349" s="1272" t="s">
        <v>1619</v>
      </c>
      <c r="D349" s="1079" t="str">
        <f>VLOOKUP(C349,'Valor Materiales'!B:E,2,0)</f>
        <v>Herramienta Menor General</v>
      </c>
      <c r="E349" s="1078" t="str">
        <f>VLOOKUP(C349,'Valor Materiales'!B:E,3,0)</f>
        <v>Un</v>
      </c>
      <c r="F349" s="1227">
        <f>VLOOKUP(C349,'Valor Materiales'!B:E,4,0)</f>
        <v>902</v>
      </c>
      <c r="G349" s="1273">
        <v>1</v>
      </c>
      <c r="H349" s="1274">
        <f>+G349*F349</f>
        <v>902</v>
      </c>
      <c r="I349" s="1275">
        <v>0</v>
      </c>
      <c r="J349" s="1227">
        <v>0</v>
      </c>
      <c r="K349" s="1228">
        <v>0</v>
      </c>
      <c r="L349" s="743"/>
    </row>
    <row r="350" spans="2:12" s="436" customFormat="1" ht="15" x14ac:dyDescent="0.25">
      <c r="C350" s="1277" t="s">
        <v>166</v>
      </c>
      <c r="D350" s="1079" t="str">
        <f>VLOOKUP(C350,'Valor Materiales'!B:E,2,0)</f>
        <v>Tapa Hierro Fundido D=0,60 m</v>
      </c>
      <c r="E350" s="1078" t="str">
        <f>VLOOKUP(C350,'Valor Materiales'!B:E,3,0)</f>
        <v>Un</v>
      </c>
      <c r="F350" s="1227">
        <f>VLOOKUP(C350,'Valor Materiales'!B:E,4,0)</f>
        <v>204200</v>
      </c>
      <c r="G350" s="1280">
        <v>1</v>
      </c>
      <c r="H350" s="739">
        <v>0</v>
      </c>
      <c r="I350" s="447">
        <f>+G350*F350</f>
        <v>204200</v>
      </c>
      <c r="J350" s="1275">
        <v>0</v>
      </c>
      <c r="K350" s="1278">
        <v>0</v>
      </c>
      <c r="L350" s="743"/>
    </row>
    <row r="351" spans="2:12" s="436" customFormat="1" ht="15.75" thickBot="1" x14ac:dyDescent="0.3">
      <c r="C351" s="471" t="s">
        <v>1598</v>
      </c>
      <c r="D351" s="439" t="str">
        <f>VLOOKUP(C351,'Valor Materiales'!B:E,2,0)</f>
        <v>Cuadrilla tipo II (1of + 2ay)</v>
      </c>
      <c r="E351" s="1230" t="str">
        <f>VLOOKUP(C351,'Valor Materiales'!B:E,3,0)</f>
        <v>Hr</v>
      </c>
      <c r="F351" s="472">
        <f>VLOOKUP(C351,'Valor Materiales'!B:E,4,0)</f>
        <v>23008.78125</v>
      </c>
      <c r="G351" s="470">
        <v>1.2</v>
      </c>
      <c r="H351" s="741">
        <v>0</v>
      </c>
      <c r="I351" s="472">
        <v>0</v>
      </c>
      <c r="J351" s="472">
        <f>+G351*F351</f>
        <v>27610.537499999999</v>
      </c>
      <c r="K351" s="742">
        <v>0</v>
      </c>
      <c r="L351" s="743"/>
    </row>
    <row r="352" spans="2:12" s="436" customFormat="1" ht="13.5" thickBot="1" x14ac:dyDescent="0.25">
      <c r="C352" s="1231"/>
      <c r="E352" s="1231"/>
      <c r="F352" s="733"/>
      <c r="G352" s="734"/>
      <c r="H352" s="735">
        <f>SUM(H349:H351)*1.0373*1.05</f>
        <v>982.42683000000011</v>
      </c>
      <c r="I352" s="735">
        <f>SUM(I349:I351)*1.0373*1.05</f>
        <v>222407.49300000005</v>
      </c>
      <c r="J352" s="735">
        <f>SUM(J349:J351)*1.0373*1.05</f>
        <v>30072.431076187502</v>
      </c>
      <c r="K352" s="735">
        <f>SUM(K349:K351)*1.0373*1.05</f>
        <v>0</v>
      </c>
    </row>
    <row r="353" spans="2:12" s="436" customFormat="1" ht="13.5" thickBot="1" x14ac:dyDescent="0.25">
      <c r="C353" s="1231"/>
      <c r="E353" s="1231"/>
      <c r="F353" s="733"/>
      <c r="G353" s="734"/>
      <c r="H353" s="733"/>
      <c r="I353" s="733"/>
      <c r="J353" s="733"/>
      <c r="K353" s="733"/>
    </row>
    <row r="354" spans="2:12" s="436" customFormat="1" ht="13.5" thickBot="1" x14ac:dyDescent="0.25">
      <c r="C354" s="1215" t="s">
        <v>1518</v>
      </c>
      <c r="D354" s="1216" t="s">
        <v>1519</v>
      </c>
      <c r="E354" s="1215" t="s">
        <v>931</v>
      </c>
      <c r="F354" s="737" t="s">
        <v>1532</v>
      </c>
      <c r="G354" s="734"/>
      <c r="H354" s="454" t="s">
        <v>1523</v>
      </c>
      <c r="I354" s="452" t="s">
        <v>1524</v>
      </c>
      <c r="J354" s="455" t="s">
        <v>1525</v>
      </c>
      <c r="K354" s="456" t="s">
        <v>1526</v>
      </c>
    </row>
    <row r="355" spans="2:12" s="436" customFormat="1" ht="26.25" thickBot="1" x14ac:dyDescent="0.25">
      <c r="C355" s="1269" t="s">
        <v>2409</v>
      </c>
      <c r="D355" s="1221" t="s">
        <v>2410</v>
      </c>
      <c r="E355" s="1270" t="s">
        <v>2411</v>
      </c>
      <c r="F355" s="1271">
        <f>SUM(H365:K365,0)</f>
        <v>198014.85045746254</v>
      </c>
      <c r="G355" s="734"/>
      <c r="H355" s="437">
        <f>+H365</f>
        <v>19197.077707500001</v>
      </c>
      <c r="I355" s="437">
        <f>+I365</f>
        <v>77527.265715900008</v>
      </c>
      <c r="J355" s="437">
        <f>+J365</f>
        <v>98398.773959062513</v>
      </c>
      <c r="K355" s="437">
        <f>+K365</f>
        <v>2891.7330750000006</v>
      </c>
    </row>
    <row r="356" spans="2:12" s="436" customFormat="1" ht="13.5" thickBot="1" x14ac:dyDescent="0.25">
      <c r="C356" s="449" t="s">
        <v>1521</v>
      </c>
      <c r="D356" s="450" t="s">
        <v>930</v>
      </c>
      <c r="E356" s="451" t="s">
        <v>931</v>
      </c>
      <c r="F356" s="452" t="s">
        <v>1522</v>
      </c>
      <c r="G356" s="453" t="s">
        <v>932</v>
      </c>
      <c r="H356" s="454" t="s">
        <v>1523</v>
      </c>
      <c r="I356" s="452" t="s">
        <v>1524</v>
      </c>
      <c r="J356" s="455" t="s">
        <v>1525</v>
      </c>
      <c r="K356" s="456" t="s">
        <v>1526</v>
      </c>
    </row>
    <row r="357" spans="2:12" s="436" customFormat="1" x14ac:dyDescent="0.2">
      <c r="C357" s="1272" t="s">
        <v>1619</v>
      </c>
      <c r="D357" s="1079" t="str">
        <f>VLOOKUP(C357,'Valor Materiales'!B:E,2,0)</f>
        <v>Herramienta Menor General</v>
      </c>
      <c r="E357" s="1078" t="str">
        <f>VLOOKUP(C357,'Valor Materiales'!B:E,3,0)</f>
        <v>Un</v>
      </c>
      <c r="F357" s="1227">
        <f>VLOOKUP(C357,'Valor Materiales'!B:E,4,0)</f>
        <v>902</v>
      </c>
      <c r="G357" s="1273">
        <v>0.25</v>
      </c>
      <c r="H357" s="1274">
        <f>+G357*F357</f>
        <v>225.5</v>
      </c>
      <c r="I357" s="1275">
        <v>0</v>
      </c>
      <c r="J357" s="1227">
        <v>0</v>
      </c>
      <c r="K357" s="1228">
        <v>0</v>
      </c>
    </row>
    <row r="358" spans="2:12" s="436" customFormat="1" x14ac:dyDescent="0.2">
      <c r="C358" s="469" t="s">
        <v>1342</v>
      </c>
      <c r="D358" s="1079" t="str">
        <f>VLOOKUP(C358,'Valor Materiales'!B:E,2,0)</f>
        <v>Alquiler Mezcladora 1 Saco a Gasolina</v>
      </c>
      <c r="E358" s="1078" t="str">
        <f>VLOOKUP(C358,'Valor Materiales'!B:E,3,0)</f>
        <v>Día</v>
      </c>
      <c r="F358" s="1227">
        <f>VLOOKUP(C358,'Valor Materiales'!B:E,4,0)</f>
        <v>34800</v>
      </c>
      <c r="G358" s="446">
        <v>0.25</v>
      </c>
      <c r="H358" s="739">
        <f>+G358*F358</f>
        <v>8700</v>
      </c>
      <c r="I358" s="447">
        <v>0</v>
      </c>
      <c r="J358" s="1227">
        <v>0</v>
      </c>
      <c r="K358" s="1228">
        <v>0</v>
      </c>
    </row>
    <row r="359" spans="2:12" s="436" customFormat="1" x14ac:dyDescent="0.2">
      <c r="C359" s="469" t="s">
        <v>1343</v>
      </c>
      <c r="D359" s="1079" t="str">
        <f>VLOOKUP(C359,'Valor Materiales'!B:E,2,0)</f>
        <v>Alquiler Vibrador Eléctrico</v>
      </c>
      <c r="E359" s="1078" t="str">
        <f>VLOOKUP(C359,'Valor Materiales'!B:E,3,0)</f>
        <v>Día</v>
      </c>
      <c r="F359" s="1227">
        <f>VLOOKUP(C359,'Valor Materiales'!B:E,4,0)</f>
        <v>34800</v>
      </c>
      <c r="G359" s="1276">
        <v>0.25</v>
      </c>
      <c r="H359" s="739">
        <f>+G359*F359</f>
        <v>8700</v>
      </c>
      <c r="I359" s="447">
        <v>0</v>
      </c>
      <c r="J359" s="1227">
        <v>0</v>
      </c>
      <c r="K359" s="1228">
        <v>0</v>
      </c>
    </row>
    <row r="360" spans="2:12" s="436" customFormat="1" x14ac:dyDescent="0.2">
      <c r="C360" s="1277" t="s">
        <v>1290</v>
      </c>
      <c r="D360" s="1079" t="str">
        <f>VLOOKUP(C360,'Valor Materiales'!B:E,2,0)</f>
        <v>Concreto Clase II (21Mpa) Producido en Obra</v>
      </c>
      <c r="E360" s="1078" t="str">
        <f>VLOOKUP(C360,'Valor Materiales'!B:E,3,0)</f>
        <v>M3</v>
      </c>
      <c r="F360" s="1227">
        <f>VLOOKUP(C360,'Valor Materiales'!B:E,4,0)</f>
        <v>264681</v>
      </c>
      <c r="G360" s="446">
        <v>0.26</v>
      </c>
      <c r="H360" s="739">
        <v>0</v>
      </c>
      <c r="I360" s="447">
        <f>+G360*F360</f>
        <v>68817.06</v>
      </c>
      <c r="J360" s="1275">
        <v>0</v>
      </c>
      <c r="K360" s="1278">
        <v>0</v>
      </c>
    </row>
    <row r="361" spans="2:12" s="436" customFormat="1" x14ac:dyDescent="0.2">
      <c r="B361" s="438"/>
      <c r="C361" s="1243" t="s">
        <v>1254</v>
      </c>
      <c r="D361" s="446" t="str">
        <f>VLOOKUP(C361,'Valor Materiales'!B:E,2,0)</f>
        <v>Formaleta para construcción de elementos en concreto</v>
      </c>
      <c r="E361" s="1229" t="str">
        <f>VLOOKUP(C361,'Valor Materiales'!B:E,3,0)</f>
        <v>Un</v>
      </c>
      <c r="F361" s="447">
        <f>VLOOKUP(C361,'Valor Materiales'!B:E,4,0)</f>
        <v>900</v>
      </c>
      <c r="G361" s="1279">
        <v>2.6259999999999999</v>
      </c>
      <c r="H361" s="1274">
        <v>0</v>
      </c>
      <c r="I361" s="447">
        <f>+G361*F361</f>
        <v>2363.4</v>
      </c>
      <c r="J361" s="1224">
        <v>0</v>
      </c>
      <c r="K361" s="1225">
        <v>0</v>
      </c>
    </row>
    <row r="362" spans="2:12" s="436" customFormat="1" x14ac:dyDescent="0.2">
      <c r="C362" s="1243" t="s">
        <v>1331</v>
      </c>
      <c r="D362" s="446" t="str">
        <f>VLOOKUP(C362,'Valor Materiales'!B:E,2,0)</f>
        <v>Ensayo de Resistencia a la Compresión del Concreto</v>
      </c>
      <c r="E362" s="1229" t="str">
        <f>VLOOKUP(C362,'Valor Materiales'!B:E,3,0)</f>
        <v>Un</v>
      </c>
      <c r="F362" s="447">
        <f>VLOOKUP(C362,'Valor Materiales'!B:E,4,0)</f>
        <v>5421</v>
      </c>
      <c r="G362" s="1279">
        <v>0.12</v>
      </c>
      <c r="H362" s="1223">
        <v>0</v>
      </c>
      <c r="I362" s="447">
        <v>0</v>
      </c>
      <c r="J362" s="1224">
        <v>0</v>
      </c>
      <c r="K362" s="1225">
        <f>+G362*F362</f>
        <v>650.52</v>
      </c>
    </row>
    <row r="363" spans="2:12" s="436" customFormat="1" x14ac:dyDescent="0.2">
      <c r="C363" s="1243" t="s">
        <v>1345</v>
      </c>
      <c r="D363" s="446" t="str">
        <f>VLOOKUP(C363,'Valor Materiales'!B:E,2,0)</f>
        <v>Alquiler Formaletas para Cilindros de Concreto</v>
      </c>
      <c r="E363" s="1229" t="str">
        <f>VLOOKUP(C363,'Valor Materiales'!B:E,3,0)</f>
        <v>Día - Unidad</v>
      </c>
      <c r="F363" s="447">
        <f>VLOOKUP(C363,'Valor Materiales'!B:E,4,0)</f>
        <v>927.99999999999989</v>
      </c>
      <c r="G363" s="1279">
        <v>2.16</v>
      </c>
      <c r="H363" s="1223">
        <v>0</v>
      </c>
      <c r="I363" s="447">
        <v>0</v>
      </c>
      <c r="J363" s="1224">
        <v>0</v>
      </c>
      <c r="K363" s="1225">
        <f>+G363*F363</f>
        <v>2004.4799999999998</v>
      </c>
    </row>
    <row r="364" spans="2:12" s="436" customFormat="1" ht="13.5" thickBot="1" x14ac:dyDescent="0.25">
      <c r="C364" s="471" t="s">
        <v>1603</v>
      </c>
      <c r="D364" s="439" t="str">
        <f>VLOOKUP(C364,'Valor Materiales'!B:E,2,0)</f>
        <v>Cuadrilla tipo VII - Producción e Instalación Concreto</v>
      </c>
      <c r="E364" s="1230" t="str">
        <f>VLOOKUP(C364,'Valor Materiales'!B:E,3,0)</f>
        <v>Hr</v>
      </c>
      <c r="F364" s="472">
        <f>VLOOKUP(C364,'Valor Materiales'!B:E,4,0)</f>
        <v>60228.875</v>
      </c>
      <c r="G364" s="470">
        <v>1.5</v>
      </c>
      <c r="H364" s="741">
        <v>0</v>
      </c>
      <c r="I364" s="472">
        <v>0</v>
      </c>
      <c r="J364" s="472">
        <f>+G364*F364</f>
        <v>90343.3125</v>
      </c>
      <c r="K364" s="742">
        <v>0</v>
      </c>
    </row>
    <row r="365" spans="2:12" s="436" customFormat="1" ht="13.5" thickBot="1" x14ac:dyDescent="0.25">
      <c r="C365" s="1231"/>
      <c r="E365" s="1231"/>
      <c r="F365" s="733"/>
      <c r="G365" s="734"/>
      <c r="H365" s="735">
        <f>SUM(H357:H364)*1.0373*1.05</f>
        <v>19197.077707500001</v>
      </c>
      <c r="I365" s="735">
        <f>SUM(I357:I364)*1.0373*1.05</f>
        <v>77527.265715900008</v>
      </c>
      <c r="J365" s="735">
        <f>SUM(J357:J364)*1.0373*1.05</f>
        <v>98398.773959062513</v>
      </c>
      <c r="K365" s="735">
        <f>SUM(K357:K364)*1.0373*1.05</f>
        <v>2891.7330750000006</v>
      </c>
    </row>
    <row r="366" spans="2:12" s="436" customFormat="1" x14ac:dyDescent="0.2">
      <c r="C366" s="1231"/>
      <c r="E366" s="1231"/>
      <c r="F366" s="733"/>
      <c r="G366" s="734"/>
      <c r="H366" s="733"/>
      <c r="I366" s="733"/>
      <c r="J366" s="733"/>
      <c r="K366" s="733"/>
      <c r="L366" s="159"/>
    </row>
    <row r="367" spans="2:12" s="436" customFormat="1" ht="13.5" thickBot="1" x14ac:dyDescent="0.25">
      <c r="C367" s="1231"/>
      <c r="E367" s="1231"/>
      <c r="F367" s="733"/>
      <c r="G367" s="734"/>
      <c r="H367" s="733"/>
      <c r="I367" s="733"/>
      <c r="J367" s="733"/>
      <c r="K367" s="733"/>
      <c r="L367" s="159"/>
    </row>
    <row r="368" spans="2:12" s="436" customFormat="1" ht="13.5" thickBot="1" x14ac:dyDescent="0.25">
      <c r="C368" s="1215" t="s">
        <v>1518</v>
      </c>
      <c r="D368" s="1216" t="s">
        <v>1519</v>
      </c>
      <c r="E368" s="1215" t="s">
        <v>931</v>
      </c>
      <c r="F368" s="737" t="s">
        <v>1532</v>
      </c>
      <c r="G368" s="734"/>
      <c r="H368" s="454" t="s">
        <v>1523</v>
      </c>
      <c r="I368" s="452" t="s">
        <v>1524</v>
      </c>
      <c r="J368" s="455" t="s">
        <v>1525</v>
      </c>
      <c r="K368" s="456" t="s">
        <v>1526</v>
      </c>
      <c r="L368" s="159"/>
    </row>
    <row r="369" spans="2:12" s="436" customFormat="1" ht="15" thickBot="1" x14ac:dyDescent="0.25">
      <c r="B369" s="438"/>
      <c r="C369" s="1269" t="s">
        <v>2414</v>
      </c>
      <c r="D369" s="1221" t="s">
        <v>2415</v>
      </c>
      <c r="E369" s="1270" t="s">
        <v>905</v>
      </c>
      <c r="F369" s="1271">
        <f>SUM(H376:K376,0)</f>
        <v>67209.556658475005</v>
      </c>
      <c r="G369" s="734"/>
      <c r="H369" s="437">
        <f>+H376</f>
        <v>49.121341500000007</v>
      </c>
      <c r="I369" s="437">
        <f>+I376</f>
        <v>15034.888118250003</v>
      </c>
      <c r="J369" s="437">
        <f>+J376</f>
        <v>52125.547198725006</v>
      </c>
      <c r="K369" s="437">
        <f>+K376</f>
        <v>0</v>
      </c>
      <c r="L369" s="159"/>
    </row>
    <row r="370" spans="2:12" s="436" customFormat="1" ht="13.5" thickBot="1" x14ac:dyDescent="0.25">
      <c r="C370" s="449" t="s">
        <v>1521</v>
      </c>
      <c r="D370" s="450" t="s">
        <v>930</v>
      </c>
      <c r="E370" s="451" t="s">
        <v>931</v>
      </c>
      <c r="F370" s="452" t="s">
        <v>1522</v>
      </c>
      <c r="G370" s="453" t="s">
        <v>932</v>
      </c>
      <c r="H370" s="454" t="s">
        <v>1523</v>
      </c>
      <c r="I370" s="452" t="s">
        <v>1524</v>
      </c>
      <c r="J370" s="455" t="s">
        <v>1525</v>
      </c>
      <c r="K370" s="456" t="s">
        <v>1526</v>
      </c>
      <c r="L370" s="159"/>
    </row>
    <row r="371" spans="2:12" s="436" customFormat="1" x14ac:dyDescent="0.2">
      <c r="C371" s="1272" t="s">
        <v>1619</v>
      </c>
      <c r="D371" s="1079" t="str">
        <f>VLOOKUP(C371,'Valor Materiales'!B:E,2,0)</f>
        <v>Herramienta Menor General</v>
      </c>
      <c r="E371" s="1078" t="str">
        <f>VLOOKUP(C371,'Valor Materiales'!B:E,3,0)</f>
        <v>Un</v>
      </c>
      <c r="F371" s="1227">
        <f>VLOOKUP(C371,'Valor Materiales'!B:E,4,0)</f>
        <v>902</v>
      </c>
      <c r="G371" s="1273">
        <v>0.05</v>
      </c>
      <c r="H371" s="1281">
        <f>+G371*F371</f>
        <v>45.1</v>
      </c>
      <c r="I371" s="1282">
        <v>0</v>
      </c>
      <c r="J371" s="443">
        <v>0</v>
      </c>
      <c r="K371" s="445">
        <v>0</v>
      </c>
      <c r="L371" s="159"/>
    </row>
    <row r="372" spans="2:12" s="436" customFormat="1" x14ac:dyDescent="0.2">
      <c r="C372" s="1277" t="s">
        <v>1290</v>
      </c>
      <c r="D372" s="1079" t="str">
        <f>VLOOKUP(C372,'Valor Materiales'!B:E,2,0)</f>
        <v>Concreto Clase II (21Mpa) Producido en Obra</v>
      </c>
      <c r="E372" s="1078" t="str">
        <f>VLOOKUP(C372,'Valor Materiales'!B:E,3,0)</f>
        <v>M3</v>
      </c>
      <c r="F372" s="1227">
        <f>VLOOKUP(C372,'Valor Materiales'!B:E,4,0)</f>
        <v>264681</v>
      </c>
      <c r="G372" s="468">
        <v>0.05</v>
      </c>
      <c r="H372" s="739">
        <v>0</v>
      </c>
      <c r="I372" s="447">
        <f>+G372*F372</f>
        <v>13234.050000000001</v>
      </c>
      <c r="J372" s="1275">
        <v>0</v>
      </c>
      <c r="K372" s="1278">
        <v>0</v>
      </c>
      <c r="L372" s="159"/>
    </row>
    <row r="373" spans="2:12" s="436" customFormat="1" x14ac:dyDescent="0.2">
      <c r="C373" s="1243" t="s">
        <v>1254</v>
      </c>
      <c r="D373" s="446" t="str">
        <f>VLOOKUP(C373,'Valor Materiales'!B:E,2,0)</f>
        <v>Formaleta para construcción de elementos en concreto</v>
      </c>
      <c r="E373" s="1229" t="str">
        <f>VLOOKUP(C373,'Valor Materiales'!B:E,3,0)</f>
        <v>Un</v>
      </c>
      <c r="F373" s="447">
        <f>VLOOKUP(C373,'Valor Materiales'!B:E,4,0)</f>
        <v>900</v>
      </c>
      <c r="G373" s="1279">
        <v>0.51500000000000001</v>
      </c>
      <c r="H373" s="1274">
        <v>0</v>
      </c>
      <c r="I373" s="447">
        <f>+G373*F373</f>
        <v>463.5</v>
      </c>
      <c r="J373" s="1224">
        <v>0</v>
      </c>
      <c r="K373" s="1225">
        <v>0</v>
      </c>
      <c r="L373" s="159"/>
    </row>
    <row r="374" spans="2:12" s="436" customFormat="1" x14ac:dyDescent="0.2">
      <c r="C374" s="1243" t="s">
        <v>1639</v>
      </c>
      <c r="D374" s="446" t="str">
        <f>VLOOKUP(C374,'Valor Materiales'!B:E,2,0)</f>
        <v>Agua para Concretos</v>
      </c>
      <c r="E374" s="1229" t="str">
        <f>VLOOKUP(C374,'Valor Materiales'!B:E,3,0)</f>
        <v>M3</v>
      </c>
      <c r="F374" s="447">
        <f>VLOOKUP(C374,'Valor Materiales'!B:E,4,0)</f>
        <v>1065</v>
      </c>
      <c r="G374" s="1279">
        <v>0.1</v>
      </c>
      <c r="H374" s="1274">
        <v>0</v>
      </c>
      <c r="I374" s="447">
        <f>+G374*F374</f>
        <v>106.5</v>
      </c>
      <c r="J374" s="1224">
        <v>0</v>
      </c>
      <c r="K374" s="1225">
        <v>0</v>
      </c>
      <c r="L374" s="159"/>
    </row>
    <row r="375" spans="2:12" s="436" customFormat="1" ht="13.5" thickBot="1" x14ac:dyDescent="0.25">
      <c r="C375" s="471" t="s">
        <v>1598</v>
      </c>
      <c r="D375" s="439" t="str">
        <f>VLOOKUP(C375,'Valor Materiales'!B:E,2,0)</f>
        <v>Cuadrilla tipo II (1of + 2ay)</v>
      </c>
      <c r="E375" s="1230" t="str">
        <f>VLOOKUP(C375,'Valor Materiales'!B:E,3,0)</f>
        <v>Hr</v>
      </c>
      <c r="F375" s="472">
        <f>VLOOKUP(C375,'Valor Materiales'!B:E,4,0)</f>
        <v>23008.78125</v>
      </c>
      <c r="G375" s="470">
        <v>2.08</v>
      </c>
      <c r="H375" s="741">
        <v>0</v>
      </c>
      <c r="I375" s="472">
        <v>0</v>
      </c>
      <c r="J375" s="472">
        <f>+G375*F375</f>
        <v>47858.264999999999</v>
      </c>
      <c r="K375" s="742">
        <v>0</v>
      </c>
      <c r="L375" s="159"/>
    </row>
    <row r="376" spans="2:12" s="436" customFormat="1" ht="13.5" thickBot="1" x14ac:dyDescent="0.25">
      <c r="C376" s="1231"/>
      <c r="E376" s="1231"/>
      <c r="F376" s="733"/>
      <c r="G376" s="734"/>
      <c r="H376" s="1064">
        <f>SUM(H371:H375)*1.0373*1.05</f>
        <v>49.121341500000007</v>
      </c>
      <c r="I376" s="1064">
        <f>SUM(I371:I375)*1.0373*1.05</f>
        <v>15034.888118250003</v>
      </c>
      <c r="J376" s="1064">
        <f>SUM(J371:J375)*1.0373*1.05</f>
        <v>52125.547198725006</v>
      </c>
      <c r="K376" s="1283">
        <f>SUM(K371:K375)*1.0373*1.05</f>
        <v>0</v>
      </c>
      <c r="L376" s="159"/>
    </row>
    <row r="377" spans="2:12" s="436" customFormat="1" ht="13.5" thickBot="1" x14ac:dyDescent="0.25">
      <c r="C377" s="1231"/>
      <c r="E377" s="1231"/>
      <c r="F377" s="733"/>
      <c r="G377" s="734"/>
      <c r="H377" s="736"/>
      <c r="I377" s="736"/>
      <c r="J377" s="736"/>
      <c r="K377" s="736"/>
      <c r="L377" s="159"/>
    </row>
    <row r="378" spans="2:12" s="436" customFormat="1" ht="13.5" thickBot="1" x14ac:dyDescent="0.25">
      <c r="B378" s="438"/>
      <c r="C378" s="1215" t="s">
        <v>1518</v>
      </c>
      <c r="D378" s="1216" t="s">
        <v>1519</v>
      </c>
      <c r="E378" s="1215" t="s">
        <v>931</v>
      </c>
      <c r="F378" s="737" t="s">
        <v>1532</v>
      </c>
      <c r="G378" s="734"/>
      <c r="H378" s="462" t="s">
        <v>1523</v>
      </c>
      <c r="I378" s="460" t="s">
        <v>1524</v>
      </c>
      <c r="J378" s="463" t="s">
        <v>1525</v>
      </c>
      <c r="K378" s="464" t="s">
        <v>1526</v>
      </c>
      <c r="L378" s="159"/>
    </row>
    <row r="379" spans="2:12" s="436" customFormat="1" ht="26.25" thickBot="1" x14ac:dyDescent="0.25">
      <c r="C379" s="1269" t="s">
        <v>2627</v>
      </c>
      <c r="D379" s="1221" t="s">
        <v>2851</v>
      </c>
      <c r="E379" s="1270" t="s">
        <v>905</v>
      </c>
      <c r="F379" s="1271">
        <f>SUM(H387:K387,0)</f>
        <v>246073.89403720928</v>
      </c>
      <c r="G379" s="734"/>
      <c r="H379" s="1064">
        <f>+H387</f>
        <v>1287.3930300000002</v>
      </c>
      <c r="I379" s="1065">
        <f>+I387</f>
        <v>202716.87378731256</v>
      </c>
      <c r="J379" s="1065">
        <f>+J387</f>
        <v>42069.62721989672</v>
      </c>
      <c r="K379" s="1066">
        <f>+K387</f>
        <v>0</v>
      </c>
      <c r="L379" s="159"/>
    </row>
    <row r="380" spans="2:12" s="436" customFormat="1" ht="13.5" thickBot="1" x14ac:dyDescent="0.25">
      <c r="C380" s="457" t="s">
        <v>1521</v>
      </c>
      <c r="D380" s="458" t="s">
        <v>930</v>
      </c>
      <c r="E380" s="459" t="s">
        <v>931</v>
      </c>
      <c r="F380" s="460" t="s">
        <v>1522</v>
      </c>
      <c r="G380" s="461" t="s">
        <v>932</v>
      </c>
      <c r="H380" s="1284" t="s">
        <v>1523</v>
      </c>
      <c r="I380" s="1285" t="s">
        <v>1524</v>
      </c>
      <c r="J380" s="1286" t="s">
        <v>1525</v>
      </c>
      <c r="K380" s="1287" t="s">
        <v>1526</v>
      </c>
      <c r="L380" s="159"/>
    </row>
    <row r="381" spans="2:12" s="436" customFormat="1" x14ac:dyDescent="0.2">
      <c r="C381" s="440" t="s">
        <v>1619</v>
      </c>
      <c r="D381" s="467" t="str">
        <f>VLOOKUP(C381,'Valor Materiales'!B:E,2,0)</f>
        <v>Herramienta Menor General</v>
      </c>
      <c r="E381" s="1288" t="str">
        <f>VLOOKUP(C381,'Valor Materiales'!B:E,3,0)</f>
        <v>Un</v>
      </c>
      <c r="F381" s="445">
        <f>VLOOKUP(C381,'Valor Materiales'!B:E,4,0)</f>
        <v>902</v>
      </c>
      <c r="G381" s="1289">
        <v>1.31</v>
      </c>
      <c r="H381" s="443">
        <f>+ROUND(F381*G381,0)</f>
        <v>1182</v>
      </c>
      <c r="I381" s="443">
        <v>0</v>
      </c>
      <c r="J381" s="443">
        <v>0</v>
      </c>
      <c r="K381" s="445">
        <v>0</v>
      </c>
      <c r="L381" s="159"/>
    </row>
    <row r="382" spans="2:12" s="436" customFormat="1" x14ac:dyDescent="0.2">
      <c r="C382" s="469" t="s">
        <v>1096</v>
      </c>
      <c r="D382" s="757" t="str">
        <f>VLOOKUP(C382,'Valor Materiales'!B:E,2,0)</f>
        <v>Kit Silla Yee 250 x 160 mm</v>
      </c>
      <c r="E382" s="1290" t="str">
        <f>VLOOKUP(C382,'Valor Materiales'!B:E,3,0)</f>
        <v>Un</v>
      </c>
      <c r="F382" s="740">
        <f>VLOOKUP(C382,'Valor Materiales'!B:E,4,0)</f>
        <v>166362</v>
      </c>
      <c r="G382" s="1291">
        <v>1</v>
      </c>
      <c r="H382" s="447">
        <v>0</v>
      </c>
      <c r="I382" s="447">
        <f>+G382*F382</f>
        <v>166362</v>
      </c>
      <c r="J382" s="447">
        <v>0</v>
      </c>
      <c r="K382" s="740">
        <v>0</v>
      </c>
      <c r="L382" s="159"/>
    </row>
    <row r="383" spans="2:12" s="436" customFormat="1" x14ac:dyDescent="0.2">
      <c r="C383" s="469" t="s">
        <v>1123</v>
      </c>
      <c r="D383" s="757" t="str">
        <f>VLOOKUP(C383,'Valor Materiales'!B:E,2,0)</f>
        <v>Acondicionador de Superficie</v>
      </c>
      <c r="E383" s="1290" t="str">
        <f>VLOOKUP(C383,'Valor Materiales'!B:E,3,0)</f>
        <v>Un</v>
      </c>
      <c r="F383" s="740">
        <f>VLOOKUP(C383,'Valor Materiales'!B:E,4,0)</f>
        <v>35259</v>
      </c>
      <c r="G383" s="1291">
        <v>8.7499999999999994E-2</v>
      </c>
      <c r="H383" s="447">
        <v>0</v>
      </c>
      <c r="I383" s="447">
        <f>+G383*F383</f>
        <v>3085.1624999999999</v>
      </c>
      <c r="J383" s="447">
        <v>0</v>
      </c>
      <c r="K383" s="740">
        <v>0</v>
      </c>
      <c r="L383" s="159"/>
    </row>
    <row r="384" spans="2:12" s="436" customFormat="1" x14ac:dyDescent="0.2">
      <c r="C384" s="469" t="s">
        <v>1125</v>
      </c>
      <c r="D384" s="757" t="str">
        <f>VLOOKUP(C384,'Valor Materiales'!B:E,2,0)</f>
        <v>Adhesivo Novafort o similar</v>
      </c>
      <c r="E384" s="1290" t="str">
        <f>VLOOKUP(C384,'Valor Materiales'!B:E,3,0)</f>
        <v>Un</v>
      </c>
      <c r="F384" s="740">
        <f>VLOOKUP(C384,'Valor Materiales'!B:E,4,0)</f>
        <v>32143</v>
      </c>
      <c r="G384" s="1291">
        <v>0.5</v>
      </c>
      <c r="H384" s="447">
        <v>0</v>
      </c>
      <c r="I384" s="447">
        <f>+G384*F384</f>
        <v>16071.5</v>
      </c>
      <c r="J384" s="447">
        <v>0</v>
      </c>
      <c r="K384" s="740">
        <v>0</v>
      </c>
      <c r="L384" s="159"/>
    </row>
    <row r="385" spans="3:12" s="436" customFormat="1" x14ac:dyDescent="0.2">
      <c r="C385" s="469" t="s">
        <v>1308</v>
      </c>
      <c r="D385" s="757" t="str">
        <f>VLOOKUP(C385,'Valor Materiales'!B:E,2,0)</f>
        <v>Alambre Galvanizado Calibre 12</v>
      </c>
      <c r="E385" s="1290" t="str">
        <f>VLOOKUP(C385,'Valor Materiales'!B:E,3,0)</f>
        <v>Kg</v>
      </c>
      <c r="F385" s="740">
        <f>VLOOKUP(C385,'Valor Materiales'!B:E,4,0)</f>
        <v>4100</v>
      </c>
      <c r="G385" s="1291">
        <v>0.14699999999999999</v>
      </c>
      <c r="H385" s="447">
        <v>0</v>
      </c>
      <c r="I385" s="447">
        <f>+G385*F385</f>
        <v>602.69999999999993</v>
      </c>
      <c r="J385" s="447">
        <v>0</v>
      </c>
      <c r="K385" s="740">
        <v>0</v>
      </c>
      <c r="L385" s="159"/>
    </row>
    <row r="386" spans="3:12" s="436" customFormat="1" ht="13.5" thickBot="1" x14ac:dyDescent="0.25">
      <c r="C386" s="471" t="s">
        <v>1604</v>
      </c>
      <c r="D386" s="1247" t="str">
        <f>VLOOKUP(C386,'Valor Materiales'!B:E,2,0)</f>
        <v>Cuadrilla tipo VIII - Instalación Tubería y Accesorios de Acueducto</v>
      </c>
      <c r="E386" s="1292" t="str">
        <f>VLOOKUP(C386,'Valor Materiales'!B:E,3,0)</f>
        <v>Hr</v>
      </c>
      <c r="F386" s="742">
        <f>VLOOKUP(C386,'Valor Materiales'!B:E,4,0)</f>
        <v>16896.578125</v>
      </c>
      <c r="G386" s="1293">
        <v>2.286</v>
      </c>
      <c r="H386" s="472">
        <v>0</v>
      </c>
      <c r="I386" s="472">
        <v>0</v>
      </c>
      <c r="J386" s="472">
        <f>+G386*F386</f>
        <v>38625.57759375</v>
      </c>
      <c r="K386" s="742">
        <v>0</v>
      </c>
      <c r="L386" s="159"/>
    </row>
    <row r="387" spans="3:12" s="436" customFormat="1" ht="13.5" thickBot="1" x14ac:dyDescent="0.25">
      <c r="C387" s="1231"/>
      <c r="E387" s="1231"/>
      <c r="F387" s="733"/>
      <c r="G387" s="734"/>
      <c r="H387" s="735">
        <f>SUM(H381:H386)*1.0373*1.05</f>
        <v>1287.3930300000002</v>
      </c>
      <c r="I387" s="735">
        <f>SUM(I381:I386)*1.0373*1.05</f>
        <v>202716.87378731256</v>
      </c>
      <c r="J387" s="735">
        <f>SUM(J381:J386)*1.0373*1.05</f>
        <v>42069.62721989672</v>
      </c>
      <c r="K387" s="735">
        <f>SUM(K381:K386)*1.0373*1.05</f>
        <v>0</v>
      </c>
      <c r="L387" s="159"/>
    </row>
    <row r="388" spans="3:12" s="436" customFormat="1" ht="13.5" thickBot="1" x14ac:dyDescent="0.25">
      <c r="C388" s="1231"/>
      <c r="E388" s="1231"/>
      <c r="F388" s="733"/>
      <c r="G388" s="734"/>
      <c r="H388" s="733"/>
      <c r="I388" s="733"/>
      <c r="J388" s="733"/>
      <c r="K388" s="733"/>
      <c r="L388" s="159"/>
    </row>
    <row r="389" spans="3:12" s="436" customFormat="1" ht="13.5" thickBot="1" x14ac:dyDescent="0.25">
      <c r="C389" s="1215" t="s">
        <v>1518</v>
      </c>
      <c r="D389" s="1216" t="s">
        <v>1519</v>
      </c>
      <c r="E389" s="1215" t="s">
        <v>931</v>
      </c>
      <c r="F389" s="737" t="s">
        <v>1532</v>
      </c>
      <c r="G389" s="734"/>
      <c r="H389" s="454" t="s">
        <v>1523</v>
      </c>
      <c r="I389" s="452" t="s">
        <v>1524</v>
      </c>
      <c r="J389" s="455" t="s">
        <v>1525</v>
      </c>
      <c r="K389" s="456" t="s">
        <v>1526</v>
      </c>
      <c r="L389" s="159"/>
    </row>
    <row r="390" spans="3:12" s="436" customFormat="1" ht="26.25" thickBot="1" x14ac:dyDescent="0.25">
      <c r="C390" s="1269" t="s">
        <v>2399</v>
      </c>
      <c r="D390" s="1221" t="s">
        <v>2931</v>
      </c>
      <c r="E390" s="1270" t="s">
        <v>905</v>
      </c>
      <c r="F390" s="1271">
        <f>SUM(H398:K398,0)</f>
        <v>362519.95585341117</v>
      </c>
      <c r="G390" s="734"/>
      <c r="H390" s="437">
        <f>+H398</f>
        <v>1287.3930300000002</v>
      </c>
      <c r="I390" s="437">
        <f>+I398</f>
        <v>312206.54055140557</v>
      </c>
      <c r="J390" s="437">
        <f>+J398</f>
        <v>49026.022272005641</v>
      </c>
      <c r="K390" s="437">
        <f>+K398</f>
        <v>0</v>
      </c>
      <c r="L390" s="159"/>
    </row>
    <row r="391" spans="3:12" s="436" customFormat="1" ht="13.5" thickBot="1" x14ac:dyDescent="0.25">
      <c r="C391" s="449" t="s">
        <v>1521</v>
      </c>
      <c r="D391" s="450" t="s">
        <v>930</v>
      </c>
      <c r="E391" s="451" t="s">
        <v>931</v>
      </c>
      <c r="F391" s="452" t="s">
        <v>1522</v>
      </c>
      <c r="G391" s="453" t="s">
        <v>932</v>
      </c>
      <c r="H391" s="454" t="s">
        <v>1523</v>
      </c>
      <c r="I391" s="452" t="s">
        <v>1524</v>
      </c>
      <c r="J391" s="455" t="s">
        <v>1525</v>
      </c>
      <c r="K391" s="456" t="s">
        <v>1526</v>
      </c>
      <c r="L391" s="159"/>
    </row>
    <row r="392" spans="3:12" s="436" customFormat="1" x14ac:dyDescent="0.2">
      <c r="C392" s="440" t="s">
        <v>1619</v>
      </c>
      <c r="D392" s="441" t="str">
        <f>VLOOKUP(C392,'Valor Materiales'!B:E,2,0)</f>
        <v>Herramienta Menor General</v>
      </c>
      <c r="E392" s="442" t="str">
        <f>VLOOKUP(C392,'Valor Materiales'!B:E,3,0)</f>
        <v>Un</v>
      </c>
      <c r="F392" s="445">
        <f>VLOOKUP(C392,'Valor Materiales'!B:E,4,0)</f>
        <v>902</v>
      </c>
      <c r="G392" s="1294">
        <v>1.31</v>
      </c>
      <c r="H392" s="1281">
        <f>+ROUND(F392*G392,0)</f>
        <v>1182</v>
      </c>
      <c r="I392" s="443">
        <v>0</v>
      </c>
      <c r="J392" s="443">
        <v>0</v>
      </c>
      <c r="K392" s="445">
        <v>0</v>
      </c>
      <c r="L392" s="159"/>
    </row>
    <row r="393" spans="3:12" s="436" customFormat="1" x14ac:dyDescent="0.2">
      <c r="C393" s="469">
        <v>20.25</v>
      </c>
      <c r="D393" s="1079" t="str">
        <f>VLOOKUP(C393,'Valor Materiales'!B:E,2,0)</f>
        <v>Silla Yee 450 x 160 mm</v>
      </c>
      <c r="E393" s="1078" t="str">
        <f>VLOOKUP(C393,'Valor Materiales'!B:E,3,0)</f>
        <v>Un</v>
      </c>
      <c r="F393" s="1228">
        <f>VLOOKUP(C393,'Valor Materiales'!B:E,4,0)</f>
        <v>213829</v>
      </c>
      <c r="G393" s="1295">
        <v>1</v>
      </c>
      <c r="H393" s="739">
        <v>0</v>
      </c>
      <c r="I393" s="1296">
        <f>+G393*F393</f>
        <v>213829</v>
      </c>
      <c r="J393" s="447">
        <v>0</v>
      </c>
      <c r="K393" s="740">
        <v>0</v>
      </c>
      <c r="L393" s="159"/>
    </row>
    <row r="394" spans="3:12" s="436" customFormat="1" x14ac:dyDescent="0.2">
      <c r="C394" s="1272" t="s">
        <v>1123</v>
      </c>
      <c r="D394" s="1079" t="str">
        <f>VLOOKUP(C394,'Valor Materiales'!B:E,2,0)</f>
        <v>Acondicionador de Superficie</v>
      </c>
      <c r="E394" s="1078" t="str">
        <f>VLOOKUP(C394,'Valor Materiales'!B:E,3,0)</f>
        <v>Un</v>
      </c>
      <c r="F394" s="1228">
        <f>VLOOKUP(C394,'Valor Materiales'!B:E,4,0)</f>
        <v>35259</v>
      </c>
      <c r="G394" s="1295">
        <v>0.1313</v>
      </c>
      <c r="H394" s="739">
        <v>0</v>
      </c>
      <c r="I394" s="1296">
        <f>+G394*F394</f>
        <v>4629.5066999999999</v>
      </c>
      <c r="J394" s="447">
        <v>0</v>
      </c>
      <c r="K394" s="740">
        <v>0</v>
      </c>
      <c r="L394" s="159"/>
    </row>
    <row r="395" spans="3:12" s="436" customFormat="1" x14ac:dyDescent="0.2">
      <c r="C395" s="469" t="s">
        <v>1125</v>
      </c>
      <c r="D395" s="1079" t="str">
        <f>VLOOKUP(C395,'Valor Materiales'!B:E,2,0)</f>
        <v>Adhesivo Novafort o similar</v>
      </c>
      <c r="E395" s="1078" t="str">
        <f>VLOOKUP(C395,'Valor Materiales'!B:E,3,0)</f>
        <v>Un</v>
      </c>
      <c r="F395" s="1228">
        <f>VLOOKUP(C395,'Valor Materiales'!B:E,4,0)</f>
        <v>32143</v>
      </c>
      <c r="G395" s="1295">
        <v>2.1</v>
      </c>
      <c r="H395" s="739">
        <v>0</v>
      </c>
      <c r="I395" s="1296">
        <f>+G395*F395</f>
        <v>67500.3</v>
      </c>
      <c r="J395" s="447">
        <v>0</v>
      </c>
      <c r="K395" s="740">
        <v>0</v>
      </c>
      <c r="L395" s="159"/>
    </row>
    <row r="396" spans="3:12" s="436" customFormat="1" x14ac:dyDescent="0.2">
      <c r="C396" s="1277" t="s">
        <v>1308</v>
      </c>
      <c r="D396" s="1079" t="str">
        <f>VLOOKUP(C396,'Valor Materiales'!B:E,2,0)</f>
        <v>Alambre Galvanizado Calibre 12</v>
      </c>
      <c r="E396" s="1078" t="str">
        <f>VLOOKUP(C396,'Valor Materiales'!B:E,3,0)</f>
        <v>Kg</v>
      </c>
      <c r="F396" s="1228">
        <f>VLOOKUP(C396,'Valor Materiales'!B:E,4,0)</f>
        <v>4100</v>
      </c>
      <c r="G396" s="734">
        <v>0.16800000000000001</v>
      </c>
      <c r="H396" s="739">
        <v>0</v>
      </c>
      <c r="I396" s="1296">
        <f>+G396*F396</f>
        <v>688.80000000000007</v>
      </c>
      <c r="J396" s="447">
        <v>0</v>
      </c>
      <c r="K396" s="740">
        <v>0</v>
      </c>
      <c r="L396" s="159"/>
    </row>
    <row r="397" spans="3:12" s="436" customFormat="1" ht="13.5" thickBot="1" x14ac:dyDescent="0.25">
      <c r="C397" s="471" t="s">
        <v>1604</v>
      </c>
      <c r="D397" s="439" t="str">
        <f>VLOOKUP(C397,'Valor Materiales'!B:E,2,0)</f>
        <v>Cuadrilla tipo VIII - Instalación Tubería y Accesorios de Acueducto</v>
      </c>
      <c r="E397" s="1230" t="str">
        <f>VLOOKUP(C397,'Valor Materiales'!B:E,3,0)</f>
        <v>Hr</v>
      </c>
      <c r="F397" s="1246">
        <f>VLOOKUP(C397,'Valor Materiales'!B:E,4,0)</f>
        <v>16896.578125</v>
      </c>
      <c r="G397" s="1297">
        <v>2.6640000000000001</v>
      </c>
      <c r="H397" s="741">
        <v>0</v>
      </c>
      <c r="I397" s="472">
        <v>0</v>
      </c>
      <c r="J397" s="472">
        <f>+G397*F397</f>
        <v>45012.484125000003</v>
      </c>
      <c r="K397" s="742">
        <v>0</v>
      </c>
      <c r="L397" s="159"/>
    </row>
    <row r="398" spans="3:12" s="436" customFormat="1" ht="13.5" thickBot="1" x14ac:dyDescent="0.25">
      <c r="C398" s="1231"/>
      <c r="E398" s="1231"/>
      <c r="F398" s="733"/>
      <c r="G398" s="734"/>
      <c r="H398" s="735">
        <f>SUM(H392:H397)*1.0373*1.05</f>
        <v>1287.3930300000002</v>
      </c>
      <c r="I398" s="735">
        <f>SUM(I392:I397)*1.0373*1.05</f>
        <v>312206.54055140557</v>
      </c>
      <c r="J398" s="735">
        <f>SUM(J392:J397)*1.0373*1.05</f>
        <v>49026.022272005641</v>
      </c>
      <c r="K398" s="735">
        <f>SUM(K392:K397)*1.0373*1.05</f>
        <v>0</v>
      </c>
      <c r="L398" s="159"/>
    </row>
    <row r="399" spans="3:12" s="436" customFormat="1" ht="13.5" thickBot="1" x14ac:dyDescent="0.25">
      <c r="C399" s="1231"/>
      <c r="E399" s="1231"/>
      <c r="F399" s="733"/>
      <c r="G399" s="734"/>
      <c r="H399" s="736"/>
      <c r="I399" s="736"/>
      <c r="J399" s="736"/>
      <c r="K399" s="736"/>
      <c r="L399" s="159"/>
    </row>
    <row r="400" spans="3:12" s="436" customFormat="1" ht="13.5" thickBot="1" x14ac:dyDescent="0.25">
      <c r="C400" s="1215" t="s">
        <v>1518</v>
      </c>
      <c r="D400" s="1216" t="s">
        <v>1519</v>
      </c>
      <c r="E400" s="1215" t="s">
        <v>931</v>
      </c>
      <c r="F400" s="737" t="s">
        <v>1532</v>
      </c>
      <c r="G400" s="734"/>
      <c r="H400" s="454" t="s">
        <v>1523</v>
      </c>
      <c r="I400" s="452" t="s">
        <v>1524</v>
      </c>
      <c r="J400" s="455" t="s">
        <v>1525</v>
      </c>
      <c r="K400" s="456" t="s">
        <v>1526</v>
      </c>
      <c r="L400" s="159"/>
    </row>
    <row r="401" spans="3:12" s="436" customFormat="1" ht="26.25" thickBot="1" x14ac:dyDescent="0.25">
      <c r="C401" s="1269" t="s">
        <v>2400</v>
      </c>
      <c r="D401" s="1221" t="s">
        <v>2852</v>
      </c>
      <c r="E401" s="1270" t="s">
        <v>905</v>
      </c>
      <c r="F401" s="1271">
        <f>SUM(H401:K401,0)</f>
        <v>270559.49303445569</v>
      </c>
      <c r="G401" s="734"/>
      <c r="H401" s="437">
        <f>+H409</f>
        <v>1287.3930300000002</v>
      </c>
      <c r="I401" s="437">
        <f>+I409</f>
        <v>220246.07773245004</v>
      </c>
      <c r="J401" s="437">
        <f>+J409</f>
        <v>49026.022272005641</v>
      </c>
      <c r="K401" s="437">
        <f>+K409</f>
        <v>0</v>
      </c>
      <c r="L401" s="159"/>
    </row>
    <row r="402" spans="3:12" s="436" customFormat="1" ht="13.5" thickBot="1" x14ac:dyDescent="0.25">
      <c r="C402" s="449" t="s">
        <v>1521</v>
      </c>
      <c r="D402" s="450" t="s">
        <v>930</v>
      </c>
      <c r="E402" s="451" t="s">
        <v>931</v>
      </c>
      <c r="F402" s="452" t="s">
        <v>1522</v>
      </c>
      <c r="G402" s="453" t="s">
        <v>932</v>
      </c>
      <c r="H402" s="454" t="s">
        <v>1523</v>
      </c>
      <c r="I402" s="452" t="s">
        <v>1524</v>
      </c>
      <c r="J402" s="455" t="s">
        <v>1525</v>
      </c>
      <c r="K402" s="456" t="s">
        <v>1526</v>
      </c>
      <c r="L402" s="159"/>
    </row>
    <row r="403" spans="3:12" s="436" customFormat="1" x14ac:dyDescent="0.2">
      <c r="C403" s="440" t="s">
        <v>1619</v>
      </c>
      <c r="D403" s="441" t="str">
        <f>VLOOKUP(C403,'Valor Materiales'!B:E,2,0)</f>
        <v>Herramienta Menor General</v>
      </c>
      <c r="E403" s="1288" t="str">
        <f>VLOOKUP(C403,'Valor Materiales'!B:E,3,0)</f>
        <v>Un</v>
      </c>
      <c r="F403" s="445">
        <f>VLOOKUP(C403,'Valor Materiales'!B:E,4,0)</f>
        <v>902</v>
      </c>
      <c r="G403" s="1294">
        <v>1.31</v>
      </c>
      <c r="H403" s="1281">
        <f>+ROUND(F403*G403,0)</f>
        <v>1182</v>
      </c>
      <c r="I403" s="443">
        <v>0</v>
      </c>
      <c r="J403" s="443">
        <v>0</v>
      </c>
      <c r="K403" s="445">
        <v>0</v>
      </c>
      <c r="L403" s="159"/>
    </row>
    <row r="404" spans="3:12" s="436" customFormat="1" x14ac:dyDescent="0.2">
      <c r="C404" s="1195" t="s">
        <v>1100</v>
      </c>
      <c r="D404" s="1079" t="str">
        <f>VLOOKUP(C404,'Valor Materiales'!B:E,2,0)</f>
        <v>Kit Silla Yee 315 x 160 mm</v>
      </c>
      <c r="E404" s="1290" t="str">
        <f>VLOOKUP(C404,'Valor Materiales'!B:E,3,0)</f>
        <v>Un</v>
      </c>
      <c r="F404" s="1228">
        <f>VLOOKUP(C404,'Valor Materiales'!B:E,4,0)</f>
        <v>172179</v>
      </c>
      <c r="G404" s="1295">
        <v>1</v>
      </c>
      <c r="H404" s="739">
        <v>0</v>
      </c>
      <c r="I404" s="1296">
        <f>+F404*G404</f>
        <v>172179</v>
      </c>
      <c r="J404" s="447">
        <v>0</v>
      </c>
      <c r="K404" s="740">
        <v>0</v>
      </c>
      <c r="L404" s="159"/>
    </row>
    <row r="405" spans="3:12" s="436" customFormat="1" x14ac:dyDescent="0.2">
      <c r="C405" s="1272" t="s">
        <v>1123</v>
      </c>
      <c r="D405" s="1079" t="str">
        <f>VLOOKUP(C405,'Valor Materiales'!B:E,2,0)</f>
        <v>Acondicionador de Superficie</v>
      </c>
      <c r="E405" s="1290" t="str">
        <f>VLOOKUP(C405,'Valor Materiales'!B:E,3,0)</f>
        <v>Un</v>
      </c>
      <c r="F405" s="1228">
        <f>VLOOKUP(C405,'Valor Materiales'!B:E,4,0)</f>
        <v>35259</v>
      </c>
      <c r="G405" s="1295">
        <v>0.21</v>
      </c>
      <c r="H405" s="739">
        <v>0</v>
      </c>
      <c r="I405" s="1296">
        <f>+G405*F405</f>
        <v>7404.3899999999994</v>
      </c>
      <c r="J405" s="447">
        <v>0</v>
      </c>
      <c r="K405" s="740">
        <v>0</v>
      </c>
      <c r="L405" s="159"/>
    </row>
    <row r="406" spans="3:12" s="436" customFormat="1" x14ac:dyDescent="0.2">
      <c r="C406" s="469" t="s">
        <v>1125</v>
      </c>
      <c r="D406" s="1079" t="str">
        <f>VLOOKUP(C406,'Valor Materiales'!B:E,2,0)</f>
        <v>Adhesivo Novafort o similar</v>
      </c>
      <c r="E406" s="1290" t="str">
        <f>VLOOKUP(C406,'Valor Materiales'!B:E,3,0)</f>
        <v>Un</v>
      </c>
      <c r="F406" s="1228">
        <f>VLOOKUP(C406,'Valor Materiales'!B:E,4,0)</f>
        <v>32143</v>
      </c>
      <c r="G406" s="1295">
        <v>0.68</v>
      </c>
      <c r="H406" s="739">
        <v>0</v>
      </c>
      <c r="I406" s="1296">
        <f>+G406*F406</f>
        <v>21857.24</v>
      </c>
      <c r="J406" s="447">
        <v>0</v>
      </c>
      <c r="K406" s="740">
        <v>0</v>
      </c>
      <c r="L406" s="159"/>
    </row>
    <row r="407" spans="3:12" s="436" customFormat="1" ht="15" x14ac:dyDescent="0.25">
      <c r="C407" s="1277" t="s">
        <v>1308</v>
      </c>
      <c r="D407" s="1079" t="str">
        <f>VLOOKUP(C407,'Valor Materiales'!B:E,2,0)</f>
        <v>Alambre Galvanizado Calibre 12</v>
      </c>
      <c r="E407" s="1290" t="str">
        <f>VLOOKUP(C407,'Valor Materiales'!B:E,3,0)</f>
        <v>Kg</v>
      </c>
      <c r="F407" s="1228">
        <f>VLOOKUP(C407,'Valor Materiales'!B:E,4,0)</f>
        <v>4100</v>
      </c>
      <c r="G407" s="734">
        <v>0.189</v>
      </c>
      <c r="H407" s="739">
        <v>0</v>
      </c>
      <c r="I407" s="1296">
        <f>+G407*F407</f>
        <v>774.9</v>
      </c>
      <c r="J407" s="447">
        <v>0</v>
      </c>
      <c r="K407" s="740">
        <v>0</v>
      </c>
      <c r="L407" s="743"/>
    </row>
    <row r="408" spans="3:12" s="436" customFormat="1" ht="15.75" thickBot="1" x14ac:dyDescent="0.3">
      <c r="C408" s="471" t="s">
        <v>1604</v>
      </c>
      <c r="D408" s="439" t="str">
        <f>VLOOKUP(C408,'Valor Materiales'!B:E,2,0)</f>
        <v>Cuadrilla tipo VIII - Instalación Tubería y Accesorios de Acueducto</v>
      </c>
      <c r="E408" s="1292" t="str">
        <f>VLOOKUP(C408,'Valor Materiales'!B:E,3,0)</f>
        <v>Hr</v>
      </c>
      <c r="F408" s="1246">
        <f>VLOOKUP(C408,'Valor Materiales'!B:E,4,0)</f>
        <v>16896.578125</v>
      </c>
      <c r="G408" s="1297">
        <v>2.6640000000000001</v>
      </c>
      <c r="H408" s="741">
        <v>0</v>
      </c>
      <c r="I408" s="472">
        <v>0</v>
      </c>
      <c r="J408" s="472">
        <f>+G408*F408</f>
        <v>45012.484125000003</v>
      </c>
      <c r="K408" s="742">
        <v>0</v>
      </c>
      <c r="L408" s="743"/>
    </row>
    <row r="409" spans="3:12" s="436" customFormat="1" ht="15.75" thickBot="1" x14ac:dyDescent="0.3">
      <c r="C409" s="1231"/>
      <c r="E409" s="1231"/>
      <c r="F409" s="733"/>
      <c r="G409" s="734"/>
      <c r="H409" s="735">
        <f>SUM(H403:H408)*1.0373*1.05</f>
        <v>1287.3930300000002</v>
      </c>
      <c r="I409" s="735">
        <f>SUM(I403:I408)*1.0373*1.05</f>
        <v>220246.07773245004</v>
      </c>
      <c r="J409" s="735">
        <f>SUM(J403:J408)*1.0373*1.05</f>
        <v>49026.022272005641</v>
      </c>
      <c r="K409" s="735">
        <f>SUM(K403:K408)*1.0373*1.05</f>
        <v>0</v>
      </c>
      <c r="L409" s="743"/>
    </row>
    <row r="410" spans="3:12" s="436" customFormat="1" ht="15" x14ac:dyDescent="0.25">
      <c r="C410" s="1231"/>
      <c r="E410" s="1231"/>
      <c r="F410" s="733"/>
      <c r="G410" s="734"/>
      <c r="H410" s="736"/>
      <c r="I410" s="736"/>
      <c r="J410" s="736"/>
      <c r="K410" s="736"/>
      <c r="L410" s="743"/>
    </row>
    <row r="411" spans="3:12" ht="13.5" thickBot="1" x14ac:dyDescent="0.25">
      <c r="L411" s="436"/>
    </row>
    <row r="412" spans="3:12" ht="13.5" thickBot="1" x14ac:dyDescent="0.25">
      <c r="C412" s="1715" t="s">
        <v>2023</v>
      </c>
      <c r="D412" s="1716"/>
      <c r="E412" s="1716"/>
      <c r="F412" s="1716"/>
      <c r="G412" s="1716"/>
      <c r="H412" s="1716"/>
      <c r="I412" s="1716"/>
      <c r="J412" s="1716"/>
      <c r="K412" s="1717"/>
      <c r="L412" s="436"/>
    </row>
    <row r="413" spans="3:12" ht="13.5" thickBot="1" x14ac:dyDescent="0.25"/>
    <row r="414" spans="3:12" ht="26.25" thickBot="1" x14ac:dyDescent="0.25">
      <c r="C414" s="296" t="s">
        <v>1518</v>
      </c>
      <c r="D414" s="945" t="s">
        <v>1519</v>
      </c>
      <c r="E414" s="296" t="s">
        <v>931</v>
      </c>
      <c r="F414" s="946" t="s">
        <v>1532</v>
      </c>
      <c r="G414" s="297"/>
      <c r="H414" s="241" t="s">
        <v>1523</v>
      </c>
      <c r="I414" s="240" t="s">
        <v>1524</v>
      </c>
      <c r="J414" s="1298" t="s">
        <v>1525</v>
      </c>
      <c r="K414" s="243" t="s">
        <v>1526</v>
      </c>
    </row>
    <row r="415" spans="3:12" ht="45.75" thickBot="1" x14ac:dyDescent="0.25">
      <c r="C415" s="1299" t="s">
        <v>2107</v>
      </c>
      <c r="D415" s="1300" t="s">
        <v>2137</v>
      </c>
      <c r="E415" s="1299" t="s">
        <v>938</v>
      </c>
      <c r="F415" s="1301">
        <f>SUM(H425:K425,0)</f>
        <v>492602.1985</v>
      </c>
      <c r="G415" s="318"/>
      <c r="H415" s="319">
        <f>+H425</f>
        <v>14724.026</v>
      </c>
      <c r="I415" s="320">
        <f>+I425</f>
        <v>359748.70999999996</v>
      </c>
      <c r="J415" s="320">
        <f>+J425</f>
        <v>112459.46250000001</v>
      </c>
      <c r="K415" s="321">
        <f>+K425</f>
        <v>5669.9999999999991</v>
      </c>
    </row>
    <row r="416" spans="3:12" ht="26.25" thickBot="1" x14ac:dyDescent="0.25">
      <c r="C416" s="237" t="s">
        <v>1521</v>
      </c>
      <c r="D416" s="238" t="s">
        <v>930</v>
      </c>
      <c r="E416" s="239" t="s">
        <v>931</v>
      </c>
      <c r="F416" s="240" t="s">
        <v>1522</v>
      </c>
      <c r="G416" s="1302" t="s">
        <v>932</v>
      </c>
      <c r="H416" s="241" t="s">
        <v>1523</v>
      </c>
      <c r="I416" s="240" t="s">
        <v>1524</v>
      </c>
      <c r="J416" s="1298" t="s">
        <v>1525</v>
      </c>
      <c r="K416" s="243" t="s">
        <v>1526</v>
      </c>
    </row>
    <row r="417" spans="3:11" x14ac:dyDescent="0.2">
      <c r="C417" s="1199" t="s">
        <v>1619</v>
      </c>
      <c r="D417" s="1210" t="str">
        <f>VLOOKUP(C417,'Valor Materiales'!B:E,2,0)</f>
        <v>Herramienta Menor General</v>
      </c>
      <c r="E417" s="1211" t="str">
        <f>VLOOKUP(C417,'Valor Materiales'!B:E,3,0)</f>
        <v>Un</v>
      </c>
      <c r="F417" s="254">
        <f>VLOOKUP(C417,'Valor Materiales'!B:E,4,0)</f>
        <v>902</v>
      </c>
      <c r="G417" s="1303">
        <v>1.663</v>
      </c>
      <c r="H417" s="269">
        <f>+G417*F417</f>
        <v>1500.0260000000001</v>
      </c>
      <c r="I417" s="270">
        <v>0</v>
      </c>
      <c r="J417" s="270">
        <v>0</v>
      </c>
      <c r="K417" s="1304">
        <v>0</v>
      </c>
    </row>
    <row r="418" spans="3:11" x14ac:dyDescent="0.2">
      <c r="C418" s="1267" t="s">
        <v>1343</v>
      </c>
      <c r="D418" s="1210" t="str">
        <f>VLOOKUP(C418,'Valor Materiales'!B:E,2,0)</f>
        <v>Alquiler Vibrador Eléctrico</v>
      </c>
      <c r="E418" s="1211" t="str">
        <f>VLOOKUP(C418,'Valor Materiales'!B:E,3,0)</f>
        <v>Día</v>
      </c>
      <c r="F418" s="254">
        <f>VLOOKUP(C418,'Valor Materiales'!B:E,4,0)</f>
        <v>34800</v>
      </c>
      <c r="G418" s="161">
        <v>0.13</v>
      </c>
      <c r="H418" s="253">
        <f>+G418*F418</f>
        <v>4524</v>
      </c>
      <c r="I418" s="254">
        <v>0</v>
      </c>
      <c r="J418" s="254">
        <v>0</v>
      </c>
      <c r="K418" s="1205">
        <v>0</v>
      </c>
    </row>
    <row r="419" spans="3:11" x14ac:dyDescent="0.2">
      <c r="C419" s="1204" t="s">
        <v>1342</v>
      </c>
      <c r="D419" s="1210" t="str">
        <f>VLOOKUP(C419,'Valor Materiales'!B:E,2,0)</f>
        <v>Alquiler Mezcladora 1 Saco a Gasolina</v>
      </c>
      <c r="E419" s="1211" t="str">
        <f>VLOOKUP(C419,'Valor Materiales'!B:E,3,0)</f>
        <v>Día</v>
      </c>
      <c r="F419" s="254">
        <f>VLOOKUP(C419,'Valor Materiales'!B:E,4,0)</f>
        <v>34800</v>
      </c>
      <c r="G419" s="1305">
        <v>0.25</v>
      </c>
      <c r="H419" s="253">
        <f>+G419*F419</f>
        <v>8700</v>
      </c>
      <c r="I419" s="254">
        <v>0</v>
      </c>
      <c r="J419" s="254">
        <v>0</v>
      </c>
      <c r="K419" s="1205">
        <v>0</v>
      </c>
    </row>
    <row r="420" spans="3:11" x14ac:dyDescent="0.2">
      <c r="C420" s="1206" t="s">
        <v>1288</v>
      </c>
      <c r="D420" s="1210" t="str">
        <f>VLOOKUP(C420,'Valor Materiales'!B:E,2,0)</f>
        <v>Concreto MR 42 KG/CM2 - MATERIAL HONDA TOLIMA</v>
      </c>
      <c r="E420" s="1211" t="str">
        <f>VLOOKUP(C420,'Valor Materiales'!B:E,3,0)</f>
        <v>M3</v>
      </c>
      <c r="F420" s="254">
        <f>VLOOKUP(C420,'Valor Materiales'!B:E,4,0)</f>
        <v>327683</v>
      </c>
      <c r="G420" s="1306">
        <v>1.03</v>
      </c>
      <c r="H420" s="253">
        <v>0</v>
      </c>
      <c r="I420" s="254">
        <f>+G420*F420</f>
        <v>337513.49</v>
      </c>
      <c r="J420" s="251">
        <v>0</v>
      </c>
      <c r="K420" s="255">
        <v>0</v>
      </c>
    </row>
    <row r="421" spans="3:11" x14ac:dyDescent="0.2">
      <c r="C421" s="1206" t="s">
        <v>1254</v>
      </c>
      <c r="D421" s="1210" t="str">
        <f>VLOOKUP(C421,'Valor Materiales'!B:E,2,0)</f>
        <v>Formaleta para construcción de elementos en concreto</v>
      </c>
      <c r="E421" s="1211" t="str">
        <f>VLOOKUP(C421,'Valor Materiales'!B:E,3,0)</f>
        <v>Un</v>
      </c>
      <c r="F421" s="254">
        <f>VLOOKUP(C421,'Valor Materiales'!B:E,4,0)</f>
        <v>900</v>
      </c>
      <c r="G421" s="1306">
        <v>16.667000000000002</v>
      </c>
      <c r="H421" s="253">
        <v>0</v>
      </c>
      <c r="I421" s="254">
        <f>+G421*F421</f>
        <v>15000.300000000001</v>
      </c>
      <c r="J421" s="254">
        <v>0</v>
      </c>
      <c r="K421" s="1205">
        <v>0</v>
      </c>
    </row>
    <row r="422" spans="3:11" x14ac:dyDescent="0.2">
      <c r="C422" s="1206" t="s">
        <v>1332</v>
      </c>
      <c r="D422" s="1210" t="str">
        <f>VLOOKUP(C422,'Valor Materiales'!B:E,2,0)</f>
        <v>Ensayo de Resistencia a la Flexión del Concreto</v>
      </c>
      <c r="E422" s="1211" t="str">
        <f>VLOOKUP(C422,'Valor Materiales'!B:E,3,0)</f>
        <v>Un</v>
      </c>
      <c r="F422" s="254">
        <f>VLOOKUP(C422,'Valor Materiales'!B:E,4,0)</f>
        <v>10000</v>
      </c>
      <c r="G422" s="1306">
        <v>0.56699999999999995</v>
      </c>
      <c r="H422" s="253">
        <v>0</v>
      </c>
      <c r="I422" s="254">
        <v>0</v>
      </c>
      <c r="J422" s="251">
        <v>0</v>
      </c>
      <c r="K422" s="255">
        <f>+G422*F422</f>
        <v>5669.9999999999991</v>
      </c>
    </row>
    <row r="423" spans="3:11" x14ac:dyDescent="0.2">
      <c r="C423" s="1206" t="s">
        <v>1284</v>
      </c>
      <c r="D423" s="1210" t="str">
        <f>VLOOKUP(C423,'Valor Materiales'!B:E,2,0)</f>
        <v>Curador para Concreto tipo Antisol blanco</v>
      </c>
      <c r="E423" s="1211" t="str">
        <f>VLOOKUP(C423,'Valor Materiales'!B:E,3,0)</f>
        <v>Kg</v>
      </c>
      <c r="F423" s="254">
        <f>VLOOKUP(C423,'Valor Materiales'!B:E,4,0)</f>
        <v>6890.4</v>
      </c>
      <c r="G423" s="1306">
        <v>1.05</v>
      </c>
      <c r="H423" s="253">
        <v>0</v>
      </c>
      <c r="I423" s="254">
        <f>+G423*F423</f>
        <v>7234.92</v>
      </c>
      <c r="J423" s="254">
        <v>0</v>
      </c>
      <c r="K423" s="259">
        <v>0</v>
      </c>
    </row>
    <row r="424" spans="3:11" ht="13.5" thickBot="1" x14ac:dyDescent="0.25">
      <c r="C424" s="1208" t="s">
        <v>1609</v>
      </c>
      <c r="D424" s="1213" t="str">
        <f>VLOOKUP(C424,'Valor Materiales'!B:E,2,0)</f>
        <v>Cuadrilla tipo XIII - Construcción de Pavimentos por franjas producido en obra</v>
      </c>
      <c r="E424" s="1214" t="str">
        <f>VLOOKUP(C424,'Valor Materiales'!B:E,3,0)</f>
        <v>Hr</v>
      </c>
      <c r="F424" s="261">
        <f>VLOOKUP(C424,'Valor Materiales'!B:E,4,0)</f>
        <v>82690.78125</v>
      </c>
      <c r="G424" s="1307">
        <v>1.36</v>
      </c>
      <c r="H424" s="263">
        <v>0</v>
      </c>
      <c r="I424" s="261">
        <v>0</v>
      </c>
      <c r="J424" s="268">
        <f>+G424*F424</f>
        <v>112459.46250000001</v>
      </c>
      <c r="K424" s="264">
        <v>0</v>
      </c>
    </row>
    <row r="425" spans="3:11" ht="13.5" thickBot="1" x14ac:dyDescent="0.25">
      <c r="F425" s="266"/>
      <c r="H425" s="267">
        <f>SUM(H417:H424)</f>
        <v>14724.026</v>
      </c>
      <c r="I425" s="267">
        <f t="shared" ref="I425:K425" si="17">SUM(I417:I424)</f>
        <v>359748.70999999996</v>
      </c>
      <c r="J425" s="267">
        <f t="shared" si="17"/>
        <v>112459.46250000001</v>
      </c>
      <c r="K425" s="267">
        <f t="shared" si="17"/>
        <v>5669.9999999999991</v>
      </c>
    </row>
    <row r="426" spans="3:11" ht="13.5" thickBot="1" x14ac:dyDescent="0.25">
      <c r="F426" s="266"/>
    </row>
    <row r="427" spans="3:11" ht="26.25" thickBot="1" x14ac:dyDescent="0.25">
      <c r="C427" s="296" t="s">
        <v>1518</v>
      </c>
      <c r="D427" s="945" t="s">
        <v>1519</v>
      </c>
      <c r="E427" s="296" t="s">
        <v>931</v>
      </c>
      <c r="F427" s="946" t="s">
        <v>1532</v>
      </c>
      <c r="G427" s="297"/>
      <c r="H427" s="241" t="s">
        <v>1523</v>
      </c>
      <c r="I427" s="240" t="s">
        <v>1524</v>
      </c>
      <c r="J427" s="1298" t="s">
        <v>1525</v>
      </c>
      <c r="K427" s="243" t="s">
        <v>1526</v>
      </c>
    </row>
    <row r="428" spans="3:11" ht="30.75" thickBot="1" x14ac:dyDescent="0.25">
      <c r="C428" s="1308" t="s">
        <v>2109</v>
      </c>
      <c r="D428" s="1300" t="s">
        <v>2111</v>
      </c>
      <c r="E428" s="1308" t="s">
        <v>1265</v>
      </c>
      <c r="F428" s="1309">
        <f>SUM(H434:K434,0)</f>
        <v>4652.5922499999997</v>
      </c>
      <c r="G428" s="298"/>
      <c r="H428" s="299">
        <f>+H434</f>
        <v>3092.3159999999998</v>
      </c>
      <c r="I428" s="300">
        <f>+I434</f>
        <v>164.79999999999998</v>
      </c>
      <c r="J428" s="300">
        <f>+J434</f>
        <v>1395.4762499999999</v>
      </c>
      <c r="K428" s="301">
        <f>+K434</f>
        <v>0</v>
      </c>
    </row>
    <row r="429" spans="3:11" ht="26.25" thickBot="1" x14ac:dyDescent="0.25">
      <c r="C429" s="237" t="s">
        <v>1521</v>
      </c>
      <c r="D429" s="238" t="s">
        <v>930</v>
      </c>
      <c r="E429" s="239" t="s">
        <v>931</v>
      </c>
      <c r="F429" s="240" t="s">
        <v>1522</v>
      </c>
      <c r="G429" s="1302" t="s">
        <v>932</v>
      </c>
      <c r="H429" s="241" t="s">
        <v>1523</v>
      </c>
      <c r="I429" s="240" t="s">
        <v>1524</v>
      </c>
      <c r="J429" s="1298" t="s">
        <v>1525</v>
      </c>
      <c r="K429" s="243" t="s">
        <v>1526</v>
      </c>
    </row>
    <row r="430" spans="3:11" x14ac:dyDescent="0.2">
      <c r="C430" s="1199" t="s">
        <v>1619</v>
      </c>
      <c r="D430" s="1210" t="str">
        <f>VLOOKUP(C430,'Valor Materiales'!B:E,2,0)</f>
        <v>Herramienta Menor General</v>
      </c>
      <c r="E430" s="1211" t="str">
        <f>VLOOKUP(C430,'Valor Materiales'!B:E,3,0)</f>
        <v>Un</v>
      </c>
      <c r="F430" s="254">
        <f>VLOOKUP(C430,'Valor Materiales'!B:E,4,0)</f>
        <v>902</v>
      </c>
      <c r="G430" s="1303">
        <v>5.8000000000000003E-2</v>
      </c>
      <c r="H430" s="269">
        <f>+G430*F430</f>
        <v>52.316000000000003</v>
      </c>
      <c r="I430" s="270">
        <v>0</v>
      </c>
      <c r="J430" s="270">
        <v>0</v>
      </c>
      <c r="K430" s="1304">
        <v>0</v>
      </c>
    </row>
    <row r="431" spans="3:11" x14ac:dyDescent="0.2">
      <c r="C431" s="1267" t="s">
        <v>1336</v>
      </c>
      <c r="D431" s="1210" t="str">
        <f>VLOOKUP(C431,'Valor Materiales'!B:E,2,0)</f>
        <v>Alquiler cortadora de pavimento</v>
      </c>
      <c r="E431" s="1211" t="str">
        <f>VLOOKUP(C431,'Valor Materiales'!B:E,3,0)</f>
        <v>Ml</v>
      </c>
      <c r="F431" s="254">
        <f>VLOOKUP(C431,'Valor Materiales'!B:E,4,0)</f>
        <v>3200</v>
      </c>
      <c r="G431" s="161">
        <v>0.95</v>
      </c>
      <c r="H431" s="253">
        <f>+G431*F431</f>
        <v>3040</v>
      </c>
      <c r="I431" s="254">
        <v>0</v>
      </c>
      <c r="J431" s="254">
        <v>0</v>
      </c>
      <c r="K431" s="1205">
        <v>0</v>
      </c>
    </row>
    <row r="432" spans="3:11" x14ac:dyDescent="0.2">
      <c r="C432" s="1206" t="s">
        <v>1529</v>
      </c>
      <c r="D432" s="1210" t="str">
        <f>VLOOKUP(C432,'Valor Materiales'!B:E,2,0)</f>
        <v>Materiales Varios</v>
      </c>
      <c r="E432" s="1211" t="str">
        <f>VLOOKUP(C432,'Valor Materiales'!B:E,3,0)</f>
        <v>Gr</v>
      </c>
      <c r="F432" s="254">
        <f>VLOOKUP(C432,'Valor Materiales'!B:E,4,0)</f>
        <v>1600</v>
      </c>
      <c r="G432" s="1306">
        <v>0.10299999999999999</v>
      </c>
      <c r="H432" s="253">
        <v>0</v>
      </c>
      <c r="I432" s="254">
        <f>+G432*F432</f>
        <v>164.79999999999998</v>
      </c>
      <c r="J432" s="254">
        <v>0</v>
      </c>
      <c r="K432" s="1205">
        <v>0</v>
      </c>
    </row>
    <row r="433" spans="3:11" ht="13.5" thickBot="1" x14ac:dyDescent="0.25">
      <c r="C433" s="1208" t="s">
        <v>1597</v>
      </c>
      <c r="D433" s="1213" t="str">
        <f>VLOOKUP(C433,'Valor Materiales'!B:E,2,0)</f>
        <v>Cuadrilla tipo I (1of + 1ay)</v>
      </c>
      <c r="E433" s="1214" t="str">
        <f>VLOOKUP(C433,'Valor Materiales'!B:E,3,0)</f>
        <v>Hr</v>
      </c>
      <c r="F433" s="261">
        <f>VLOOKUP(C433,'Valor Materiales'!B:E,4,0)</f>
        <v>17443.453125</v>
      </c>
      <c r="G433" s="1307">
        <v>0.08</v>
      </c>
      <c r="H433" s="263">
        <v>0</v>
      </c>
      <c r="I433" s="261">
        <v>0</v>
      </c>
      <c r="J433" s="268">
        <f>+G433*F433</f>
        <v>1395.4762499999999</v>
      </c>
      <c r="K433" s="264">
        <v>0</v>
      </c>
    </row>
    <row r="434" spans="3:11" ht="13.5" thickBot="1" x14ac:dyDescent="0.25">
      <c r="F434" s="266"/>
      <c r="H434" s="267">
        <f>SUM(H430:H433)</f>
        <v>3092.3159999999998</v>
      </c>
      <c r="I434" s="267">
        <f t="shared" ref="I434:K434" si="18">SUM(I430:I433)</f>
        <v>164.79999999999998</v>
      </c>
      <c r="J434" s="267">
        <f t="shared" si="18"/>
        <v>1395.4762499999999</v>
      </c>
      <c r="K434" s="267">
        <f t="shared" si="18"/>
        <v>0</v>
      </c>
    </row>
    <row r="435" spans="3:11" ht="13.5" thickBot="1" x14ac:dyDescent="0.25">
      <c r="F435" s="266"/>
    </row>
    <row r="436" spans="3:11" ht="26.25" thickBot="1" x14ac:dyDescent="0.25">
      <c r="C436" s="296" t="s">
        <v>1518</v>
      </c>
      <c r="D436" s="945" t="s">
        <v>1519</v>
      </c>
      <c r="E436" s="296" t="s">
        <v>931</v>
      </c>
      <c r="F436" s="946" t="s">
        <v>1532</v>
      </c>
      <c r="G436" s="297"/>
      <c r="H436" s="241" t="s">
        <v>1523</v>
      </c>
      <c r="I436" s="240" t="s">
        <v>1524</v>
      </c>
      <c r="J436" s="1298" t="s">
        <v>1525</v>
      </c>
      <c r="K436" s="243" t="s">
        <v>1526</v>
      </c>
    </row>
    <row r="437" spans="3:11" ht="30.75" thickBot="1" x14ac:dyDescent="0.25">
      <c r="C437" s="1308" t="s">
        <v>2110</v>
      </c>
      <c r="D437" s="1300" t="s">
        <v>2112</v>
      </c>
      <c r="E437" s="1308" t="s">
        <v>1265</v>
      </c>
      <c r="F437" s="1309">
        <f>SUM(H443:K443,0)</f>
        <v>4142.1922500000001</v>
      </c>
      <c r="G437" s="298"/>
      <c r="H437" s="299">
        <f>+H443</f>
        <v>2612.3159999999998</v>
      </c>
      <c r="I437" s="300">
        <f>+I443</f>
        <v>134.4</v>
      </c>
      <c r="J437" s="300">
        <f>+J443</f>
        <v>1395.4762499999999</v>
      </c>
      <c r="K437" s="301">
        <f>+K443</f>
        <v>0</v>
      </c>
    </row>
    <row r="438" spans="3:11" ht="26.25" thickBot="1" x14ac:dyDescent="0.25">
      <c r="C438" s="237" t="s">
        <v>1521</v>
      </c>
      <c r="D438" s="238" t="s">
        <v>930</v>
      </c>
      <c r="E438" s="239" t="s">
        <v>931</v>
      </c>
      <c r="F438" s="240" t="s">
        <v>1522</v>
      </c>
      <c r="G438" s="1302" t="s">
        <v>932</v>
      </c>
      <c r="H438" s="241" t="s">
        <v>1523</v>
      </c>
      <c r="I438" s="240" t="s">
        <v>1524</v>
      </c>
      <c r="J438" s="1298" t="s">
        <v>1525</v>
      </c>
      <c r="K438" s="243" t="s">
        <v>1526</v>
      </c>
    </row>
    <row r="439" spans="3:11" x14ac:dyDescent="0.2">
      <c r="C439" s="1199" t="s">
        <v>1619</v>
      </c>
      <c r="D439" s="1210" t="str">
        <f>VLOOKUP(C439,'Valor Materiales'!B:E,2,0)</f>
        <v>Herramienta Menor General</v>
      </c>
      <c r="E439" s="1211" t="str">
        <f>VLOOKUP(C439,'Valor Materiales'!B:E,3,0)</f>
        <v>Un</v>
      </c>
      <c r="F439" s="254">
        <f>VLOOKUP(C439,'Valor Materiales'!B:E,4,0)</f>
        <v>902</v>
      </c>
      <c r="G439" s="1303">
        <v>5.8000000000000003E-2</v>
      </c>
      <c r="H439" s="269">
        <f>+G439*F439</f>
        <v>52.316000000000003</v>
      </c>
      <c r="I439" s="270">
        <v>0</v>
      </c>
      <c r="J439" s="270">
        <v>0</v>
      </c>
      <c r="K439" s="1304">
        <v>0</v>
      </c>
    </row>
    <row r="440" spans="3:11" x14ac:dyDescent="0.2">
      <c r="C440" s="1267" t="s">
        <v>1336</v>
      </c>
      <c r="D440" s="1210" t="str">
        <f>VLOOKUP(C440,'Valor Materiales'!B:E,2,0)</f>
        <v>Alquiler cortadora de pavimento</v>
      </c>
      <c r="E440" s="1211" t="str">
        <f>VLOOKUP(C440,'Valor Materiales'!B:E,3,0)</f>
        <v>Ml</v>
      </c>
      <c r="F440" s="254">
        <f>VLOOKUP(C440,'Valor Materiales'!B:E,4,0)</f>
        <v>3200</v>
      </c>
      <c r="G440" s="161">
        <v>0.8</v>
      </c>
      <c r="H440" s="253">
        <f>+G440*F440</f>
        <v>2560</v>
      </c>
      <c r="I440" s="254">
        <v>0</v>
      </c>
      <c r="J440" s="254">
        <v>0</v>
      </c>
      <c r="K440" s="1205">
        <v>0</v>
      </c>
    </row>
    <row r="441" spans="3:11" x14ac:dyDescent="0.2">
      <c r="C441" s="1206" t="s">
        <v>1529</v>
      </c>
      <c r="D441" s="1210" t="str">
        <f>VLOOKUP(C441,'Valor Materiales'!B:E,2,0)</f>
        <v>Materiales Varios</v>
      </c>
      <c r="E441" s="1211" t="str">
        <f>VLOOKUP(C441,'Valor Materiales'!B:E,3,0)</f>
        <v>Gr</v>
      </c>
      <c r="F441" s="254">
        <f>VLOOKUP(C441,'Valor Materiales'!B:E,4,0)</f>
        <v>1600</v>
      </c>
      <c r="G441" s="1306">
        <v>8.4000000000000005E-2</v>
      </c>
      <c r="H441" s="253">
        <v>0</v>
      </c>
      <c r="I441" s="254">
        <f>+G441*F441</f>
        <v>134.4</v>
      </c>
      <c r="J441" s="254">
        <v>0</v>
      </c>
      <c r="K441" s="1205">
        <v>0</v>
      </c>
    </row>
    <row r="442" spans="3:11" ht="13.5" thickBot="1" x14ac:dyDescent="0.25">
      <c r="C442" s="1208" t="s">
        <v>1597</v>
      </c>
      <c r="D442" s="1213" t="str">
        <f>VLOOKUP(C442,'Valor Materiales'!B:E,2,0)</f>
        <v>Cuadrilla tipo I (1of + 1ay)</v>
      </c>
      <c r="E442" s="1214" t="str">
        <f>VLOOKUP(C442,'Valor Materiales'!B:E,3,0)</f>
        <v>Hr</v>
      </c>
      <c r="F442" s="261">
        <f>VLOOKUP(C442,'Valor Materiales'!B:E,4,0)</f>
        <v>17443.453125</v>
      </c>
      <c r="G442" s="1307">
        <v>0.08</v>
      </c>
      <c r="H442" s="263">
        <v>0</v>
      </c>
      <c r="I442" s="261">
        <v>0</v>
      </c>
      <c r="J442" s="268">
        <f>+G442*F442</f>
        <v>1395.4762499999999</v>
      </c>
      <c r="K442" s="264">
        <v>0</v>
      </c>
    </row>
    <row r="443" spans="3:11" ht="13.5" thickBot="1" x14ac:dyDescent="0.25">
      <c r="F443" s="266"/>
      <c r="H443" s="267">
        <f>SUM(H439:H442)</f>
        <v>2612.3159999999998</v>
      </c>
      <c r="I443" s="267">
        <f t="shared" ref="I443:K443" si="19">SUM(I439:I442)</f>
        <v>134.4</v>
      </c>
      <c r="J443" s="267">
        <f t="shared" si="19"/>
        <v>1395.4762499999999</v>
      </c>
      <c r="K443" s="267">
        <f t="shared" si="19"/>
        <v>0</v>
      </c>
    </row>
    <row r="444" spans="3:11" ht="13.5" thickBot="1" x14ac:dyDescent="0.25">
      <c r="F444" s="266"/>
    </row>
    <row r="445" spans="3:11" ht="26.25" thickBot="1" x14ac:dyDescent="0.25">
      <c r="C445" s="296" t="s">
        <v>1518</v>
      </c>
      <c r="D445" s="945" t="s">
        <v>1519</v>
      </c>
      <c r="E445" s="296" t="s">
        <v>931</v>
      </c>
      <c r="F445" s="946" t="s">
        <v>1532</v>
      </c>
      <c r="G445" s="297"/>
      <c r="H445" s="241" t="s">
        <v>1523</v>
      </c>
      <c r="I445" s="240" t="s">
        <v>1524</v>
      </c>
      <c r="J445" s="1298" t="s">
        <v>1525</v>
      </c>
      <c r="K445" s="243" t="s">
        <v>1526</v>
      </c>
    </row>
    <row r="446" spans="3:11" ht="30.75" thickBot="1" x14ac:dyDescent="0.25">
      <c r="C446" s="1308" t="s">
        <v>2108</v>
      </c>
      <c r="D446" s="1300" t="s">
        <v>2113</v>
      </c>
      <c r="E446" s="1308" t="s">
        <v>938</v>
      </c>
      <c r="F446" s="1309">
        <f>SUM(H455:K455,0)</f>
        <v>383631.09143000003</v>
      </c>
      <c r="G446" s="298"/>
      <c r="H446" s="299">
        <f>+H455</f>
        <v>8756.8259999999991</v>
      </c>
      <c r="I446" s="300">
        <f>+I455</f>
        <v>295063.54668000003</v>
      </c>
      <c r="J446" s="300">
        <f>+J455</f>
        <v>79810.71875</v>
      </c>
      <c r="K446" s="301">
        <f>+K455</f>
        <v>0</v>
      </c>
    </row>
    <row r="447" spans="3:11" ht="26.25" thickBot="1" x14ac:dyDescent="0.25">
      <c r="C447" s="237" t="s">
        <v>1521</v>
      </c>
      <c r="D447" s="238" t="s">
        <v>930</v>
      </c>
      <c r="E447" s="239" t="s">
        <v>931</v>
      </c>
      <c r="F447" s="240" t="s">
        <v>1522</v>
      </c>
      <c r="G447" s="1302" t="s">
        <v>932</v>
      </c>
      <c r="H447" s="241" t="s">
        <v>1523</v>
      </c>
      <c r="I447" s="240" t="s">
        <v>1524</v>
      </c>
      <c r="J447" s="1298" t="s">
        <v>1525</v>
      </c>
      <c r="K447" s="243" t="s">
        <v>1526</v>
      </c>
    </row>
    <row r="448" spans="3:11" x14ac:dyDescent="0.2">
      <c r="C448" s="1199" t="s">
        <v>1619</v>
      </c>
      <c r="D448" s="1210" t="str">
        <f>VLOOKUP(C448,'Valor Materiales'!B:E,2,0)</f>
        <v>Herramienta Menor General</v>
      </c>
      <c r="E448" s="1211" t="str">
        <f>VLOOKUP(C448,'Valor Materiales'!B:E,3,0)</f>
        <v>Un</v>
      </c>
      <c r="F448" s="254">
        <f>VLOOKUP(C448,'Valor Materiales'!B:E,4,0)</f>
        <v>902</v>
      </c>
      <c r="G448" s="1303">
        <v>6.3E-2</v>
      </c>
      <c r="H448" s="269">
        <f>+G448*F448</f>
        <v>56.826000000000001</v>
      </c>
      <c r="I448" s="270">
        <v>0</v>
      </c>
      <c r="J448" s="270">
        <v>0</v>
      </c>
      <c r="K448" s="1304">
        <v>0</v>
      </c>
    </row>
    <row r="449" spans="3:12" x14ac:dyDescent="0.2">
      <c r="C449" s="1267" t="s">
        <v>1343</v>
      </c>
      <c r="D449" s="1210" t="str">
        <f>VLOOKUP(C449,'Valor Materiales'!B:E,2,0)</f>
        <v>Alquiler Vibrador Eléctrico</v>
      </c>
      <c r="E449" s="1211" t="str">
        <f>VLOOKUP(C449,'Valor Materiales'!B:E,3,0)</f>
        <v>Día</v>
      </c>
      <c r="F449" s="254">
        <f>VLOOKUP(C449,'Valor Materiales'!B:E,4,0)</f>
        <v>34800</v>
      </c>
      <c r="G449" s="1305">
        <v>0.25</v>
      </c>
      <c r="H449" s="253">
        <f>+G449*F449</f>
        <v>8700</v>
      </c>
      <c r="I449" s="254">
        <v>0</v>
      </c>
      <c r="J449" s="254">
        <v>0</v>
      </c>
      <c r="K449" s="1205">
        <v>0</v>
      </c>
    </row>
    <row r="450" spans="3:12" x14ac:dyDescent="0.2">
      <c r="C450" s="1204" t="s">
        <v>2771</v>
      </c>
      <c r="D450" s="1210" t="str">
        <f>VLOOKUP(C450,'Valor Materiales'!B:E,2,0)</f>
        <v>Concreto Clase III (17,5 Mpa)</v>
      </c>
      <c r="E450" s="1211" t="str">
        <f>VLOOKUP(C450,'Valor Materiales'!B:E,3,0)</f>
        <v>M3</v>
      </c>
      <c r="F450" s="254">
        <f>VLOOKUP(C450,'Valor Materiales'!B:E,4,0)</f>
        <v>264920</v>
      </c>
      <c r="G450" s="161">
        <v>1.05</v>
      </c>
      <c r="H450" s="1202">
        <v>0</v>
      </c>
      <c r="I450" s="254">
        <f>+G450*F450</f>
        <v>278166</v>
      </c>
      <c r="J450" s="248">
        <v>0</v>
      </c>
      <c r="K450" s="1203">
        <v>0</v>
      </c>
    </row>
    <row r="451" spans="3:12" x14ac:dyDescent="0.2">
      <c r="C451" s="1206" t="s">
        <v>1254</v>
      </c>
      <c r="D451" s="1210" t="str">
        <f>VLOOKUP(C451,'Valor Materiales'!B:E,2,0)</f>
        <v>Formaleta para construcción de elementos en concreto</v>
      </c>
      <c r="E451" s="1211" t="str">
        <f>VLOOKUP(C451,'Valor Materiales'!B:E,3,0)</f>
        <v>Un</v>
      </c>
      <c r="F451" s="254">
        <f>VLOOKUP(C451,'Valor Materiales'!B:E,4,0)</f>
        <v>900</v>
      </c>
      <c r="G451" s="1306">
        <v>0.47</v>
      </c>
      <c r="H451" s="253">
        <v>0</v>
      </c>
      <c r="I451" s="254">
        <f>+G451*F451</f>
        <v>423</v>
      </c>
      <c r="J451" s="254">
        <v>0</v>
      </c>
      <c r="K451" s="1205">
        <v>0</v>
      </c>
    </row>
    <row r="452" spans="3:12" x14ac:dyDescent="0.2">
      <c r="C452" s="1206" t="s">
        <v>1331</v>
      </c>
      <c r="D452" s="1210" t="str">
        <f>VLOOKUP(C452,'Valor Materiales'!B:E,2,0)</f>
        <v>Ensayo de Resistencia a la Compresión del Concreto</v>
      </c>
      <c r="E452" s="1211" t="str">
        <f>VLOOKUP(C452,'Valor Materiales'!B:E,3,0)</f>
        <v>Un</v>
      </c>
      <c r="F452" s="254">
        <f>VLOOKUP(C452,'Valor Materiales'!B:E,4,0)</f>
        <v>5421</v>
      </c>
      <c r="G452" s="1306">
        <v>0.85699999999999998</v>
      </c>
      <c r="H452" s="253">
        <v>0</v>
      </c>
      <c r="I452" s="254">
        <f>+G452*F452</f>
        <v>4645.7969999999996</v>
      </c>
      <c r="J452" s="254">
        <v>0</v>
      </c>
      <c r="K452" s="1205">
        <v>0</v>
      </c>
    </row>
    <row r="453" spans="3:12" x14ac:dyDescent="0.2">
      <c r="C453" s="1206" t="s">
        <v>1284</v>
      </c>
      <c r="D453" s="1210" t="str">
        <f>VLOOKUP(C453,'Valor Materiales'!B:E,2,0)</f>
        <v>Curador para Concreto tipo Antisol blanco</v>
      </c>
      <c r="E453" s="1211" t="str">
        <f>VLOOKUP(C453,'Valor Materiales'!B:E,3,0)</f>
        <v>Kg</v>
      </c>
      <c r="F453" s="254">
        <f>VLOOKUP(C453,'Valor Materiales'!B:E,4,0)</f>
        <v>6890.4</v>
      </c>
      <c r="G453" s="1306">
        <v>1.7166999999999999</v>
      </c>
      <c r="H453" s="253">
        <v>0</v>
      </c>
      <c r="I453" s="254">
        <f>+G453*F453</f>
        <v>11828.749679999999</v>
      </c>
      <c r="J453" s="254">
        <v>0</v>
      </c>
      <c r="K453" s="1205">
        <v>0</v>
      </c>
    </row>
    <row r="454" spans="3:12" ht="15.75" thickBot="1" x14ac:dyDescent="0.3">
      <c r="C454" s="1208" t="s">
        <v>1599</v>
      </c>
      <c r="D454" s="1213" t="str">
        <f>VLOOKUP(C454,'Valor Materiales'!B:E,2,0)</f>
        <v>Cuadrilla tipo III (2of + 3ay)</v>
      </c>
      <c r="E454" s="1214" t="str">
        <f>VLOOKUP(C454,'Valor Materiales'!B:E,3,0)</f>
        <v>Hr</v>
      </c>
      <c r="F454" s="261">
        <f>VLOOKUP(C454,'Valor Materiales'!B:E,4,0)</f>
        <v>39905.359375</v>
      </c>
      <c r="G454" s="1307">
        <v>2</v>
      </c>
      <c r="H454" s="263">
        <v>0</v>
      </c>
      <c r="I454" s="261">
        <v>0</v>
      </c>
      <c r="J454" s="268">
        <f>+G454*F454</f>
        <v>79810.71875</v>
      </c>
      <c r="K454" s="264">
        <v>0</v>
      </c>
      <c r="L454" s="743"/>
    </row>
    <row r="455" spans="3:12" ht="15.75" thickBot="1" x14ac:dyDescent="0.3">
      <c r="F455" s="266"/>
      <c r="H455" s="267">
        <f>SUM(H448:H454)</f>
        <v>8756.8259999999991</v>
      </c>
      <c r="I455" s="267">
        <f t="shared" ref="I455:K455" si="20">SUM(I448:I454)</f>
        <v>295063.54668000003</v>
      </c>
      <c r="J455" s="267">
        <f t="shared" si="20"/>
        <v>79810.71875</v>
      </c>
      <c r="K455" s="267">
        <f t="shared" si="20"/>
        <v>0</v>
      </c>
      <c r="L455" s="743"/>
    </row>
    <row r="456" spans="3:12" ht="15.75" thickBot="1" x14ac:dyDescent="0.3">
      <c r="F456" s="266"/>
      <c r="L456" s="743"/>
    </row>
    <row r="457" spans="3:12" ht="26.25" thickBot="1" x14ac:dyDescent="0.3">
      <c r="C457" s="296" t="s">
        <v>1518</v>
      </c>
      <c r="D457" s="945" t="s">
        <v>1519</v>
      </c>
      <c r="E457" s="296" t="s">
        <v>931</v>
      </c>
      <c r="F457" s="946" t="s">
        <v>1532</v>
      </c>
      <c r="G457" s="297"/>
      <c r="H457" s="241" t="s">
        <v>1523</v>
      </c>
      <c r="I457" s="240" t="s">
        <v>1524</v>
      </c>
      <c r="J457" s="1298" t="s">
        <v>1525</v>
      </c>
      <c r="K457" s="243" t="s">
        <v>1526</v>
      </c>
      <c r="L457" s="743"/>
    </row>
    <row r="458" spans="3:12" ht="30.75" thickBot="1" x14ac:dyDescent="0.3">
      <c r="C458" s="1308" t="s">
        <v>2122</v>
      </c>
      <c r="D458" s="1300" t="s">
        <v>2123</v>
      </c>
      <c r="E458" s="1308" t="s">
        <v>1265</v>
      </c>
      <c r="F458" s="1309">
        <f>SUM(H465:K465,0)</f>
        <v>3194.2046125000002</v>
      </c>
      <c r="G458" s="298"/>
      <c r="H458" s="299">
        <f>+H465</f>
        <v>571.62600000000009</v>
      </c>
      <c r="I458" s="300">
        <f>+I465</f>
        <v>1659.7</v>
      </c>
      <c r="J458" s="300">
        <f>+J465</f>
        <v>962.87861250000003</v>
      </c>
      <c r="K458" s="301">
        <f>+K465</f>
        <v>0</v>
      </c>
      <c r="L458" s="743"/>
    </row>
    <row r="459" spans="3:12" ht="26.25" thickBot="1" x14ac:dyDescent="0.25">
      <c r="C459" s="237" t="s">
        <v>1521</v>
      </c>
      <c r="D459" s="238" t="s">
        <v>930</v>
      </c>
      <c r="E459" s="239" t="s">
        <v>931</v>
      </c>
      <c r="F459" s="240" t="s">
        <v>1522</v>
      </c>
      <c r="G459" s="1302" t="s">
        <v>932</v>
      </c>
      <c r="H459" s="241" t="s">
        <v>1523</v>
      </c>
      <c r="I459" s="240" t="s">
        <v>1524</v>
      </c>
      <c r="J459" s="1298" t="s">
        <v>1525</v>
      </c>
      <c r="K459" s="243" t="s">
        <v>1526</v>
      </c>
      <c r="L459" s="436"/>
    </row>
    <row r="460" spans="3:12" x14ac:dyDescent="0.2">
      <c r="C460" s="1235" t="s">
        <v>1619</v>
      </c>
      <c r="D460" s="1210" t="str">
        <f>VLOOKUP(C460,'Valor Materiales'!B:E,2,0)</f>
        <v>Herramienta Menor General</v>
      </c>
      <c r="E460" s="1211" t="str">
        <f>VLOOKUP(C460,'Valor Materiales'!B:E,3,0)</f>
        <v>Un</v>
      </c>
      <c r="F460" s="244">
        <f>VLOOKUP(C460,'Valor Materiales'!B:E,4,0)</f>
        <v>902</v>
      </c>
      <c r="G460" s="249">
        <v>6.3E-2</v>
      </c>
      <c r="H460" s="269">
        <f>+G460*F460</f>
        <v>56.826000000000001</v>
      </c>
      <c r="I460" s="270">
        <v>0</v>
      </c>
      <c r="J460" s="270">
        <v>0</v>
      </c>
      <c r="K460" s="1304">
        <v>0</v>
      </c>
      <c r="L460" s="436"/>
    </row>
    <row r="461" spans="3:12" x14ac:dyDescent="0.2">
      <c r="C461" s="1267" t="s">
        <v>1660</v>
      </c>
      <c r="D461" s="1210" t="str">
        <f>VLOOKUP(C461,'Valor Materiales'!B:E,2,0)</f>
        <v>Hidrolavadora</v>
      </c>
      <c r="E461" s="1211" t="str">
        <f>VLOOKUP(C461,'Valor Materiales'!B:E,3,0)</f>
        <v>Ml</v>
      </c>
      <c r="F461" s="254">
        <f>VLOOKUP(C461,'Valor Materiales'!B:E,4,0)</f>
        <v>990</v>
      </c>
      <c r="G461" s="252">
        <v>0.52</v>
      </c>
      <c r="H461" s="253">
        <f>+G461*F461</f>
        <v>514.80000000000007</v>
      </c>
      <c r="I461" s="254">
        <v>0</v>
      </c>
      <c r="J461" s="254">
        <v>0</v>
      </c>
      <c r="K461" s="1205">
        <v>0</v>
      </c>
      <c r="L461" s="436"/>
    </row>
    <row r="462" spans="3:12" x14ac:dyDescent="0.2">
      <c r="C462" s="1204" t="s">
        <v>1662</v>
      </c>
      <c r="D462" s="1210" t="str">
        <f>VLOOKUP(C462,'Valor Materiales'!B:E,2,0)</f>
        <v>Trilla de Respaldo para sellado de juntas de pavimento</v>
      </c>
      <c r="E462" s="1211" t="str">
        <f>VLOOKUP(C462,'Valor Materiales'!B:E,3,0)</f>
        <v>Ml</v>
      </c>
      <c r="F462" s="254">
        <f>VLOOKUP(C462,'Valor Materiales'!B:E,4,0)</f>
        <v>460</v>
      </c>
      <c r="G462" s="1310">
        <v>0.89500000000000002</v>
      </c>
      <c r="H462" s="1202">
        <v>0</v>
      </c>
      <c r="I462" s="254">
        <f>+G462*F462</f>
        <v>411.7</v>
      </c>
      <c r="J462" s="248">
        <v>0</v>
      </c>
      <c r="K462" s="1203">
        <v>0</v>
      </c>
      <c r="L462" s="436"/>
    </row>
    <row r="463" spans="3:12" x14ac:dyDescent="0.2">
      <c r="C463" s="1206" t="s">
        <v>1664</v>
      </c>
      <c r="D463" s="1210" t="str">
        <f>VLOOKUP(C463,'Valor Materiales'!B:E,2,0)</f>
        <v>Compuesto elastomèrico para sellado de juntas de pavimento</v>
      </c>
      <c r="E463" s="1211" t="str">
        <f>VLOOKUP(C463,'Valor Materiales'!B:E,3,0)</f>
        <v>Ml</v>
      </c>
      <c r="F463" s="254">
        <f>VLOOKUP(C463,'Valor Materiales'!B:E,4,0)</f>
        <v>2600</v>
      </c>
      <c r="G463" s="257">
        <v>0.48</v>
      </c>
      <c r="H463" s="253">
        <v>0</v>
      </c>
      <c r="I463" s="254">
        <f>+G463*F463</f>
        <v>1248</v>
      </c>
      <c r="J463" s="254">
        <v>0</v>
      </c>
      <c r="K463" s="1205">
        <v>0</v>
      </c>
      <c r="L463" s="436"/>
    </row>
    <row r="464" spans="3:12" ht="13.5" thickBot="1" x14ac:dyDescent="0.25">
      <c r="C464" s="1208" t="s">
        <v>1597</v>
      </c>
      <c r="D464" s="1213" t="str">
        <f>VLOOKUP(C464,'Valor Materiales'!B:E,2,0)</f>
        <v>Cuadrilla tipo I (1of + 1ay)</v>
      </c>
      <c r="E464" s="1214" t="str">
        <f>VLOOKUP(C464,'Valor Materiales'!B:E,3,0)</f>
        <v>Hr</v>
      </c>
      <c r="F464" s="261">
        <f>VLOOKUP(C464,'Valor Materiales'!B:E,4,0)</f>
        <v>17443.453125</v>
      </c>
      <c r="G464" s="262">
        <v>5.5199999999999999E-2</v>
      </c>
      <c r="H464" s="263">
        <v>0</v>
      </c>
      <c r="I464" s="261">
        <v>0</v>
      </c>
      <c r="J464" s="268">
        <f>+G464*F464</f>
        <v>962.87861250000003</v>
      </c>
      <c r="K464" s="264">
        <v>0</v>
      </c>
      <c r="L464" s="436"/>
    </row>
    <row r="465" spans="3:12" ht="13.5" thickBot="1" x14ac:dyDescent="0.25">
      <c r="F465" s="266"/>
      <c r="H465" s="267">
        <f>SUM(H460:H464)</f>
        <v>571.62600000000009</v>
      </c>
      <c r="I465" s="267">
        <f t="shared" ref="I465:K465" si="21">SUM(I460:I464)</f>
        <v>1659.7</v>
      </c>
      <c r="J465" s="267">
        <f t="shared" si="21"/>
        <v>962.87861250000003</v>
      </c>
      <c r="K465" s="267">
        <f t="shared" si="21"/>
        <v>0</v>
      </c>
      <c r="L465" s="436"/>
    </row>
    <row r="466" spans="3:12" ht="13.5" thickBot="1" x14ac:dyDescent="0.25">
      <c r="L466" s="436"/>
    </row>
    <row r="467" spans="3:12" ht="26.25" thickBot="1" x14ac:dyDescent="0.25">
      <c r="C467" s="296" t="s">
        <v>1518</v>
      </c>
      <c r="D467" s="945" t="s">
        <v>1519</v>
      </c>
      <c r="E467" s="296" t="s">
        <v>931</v>
      </c>
      <c r="F467" s="946" t="s">
        <v>1532</v>
      </c>
      <c r="G467" s="297"/>
      <c r="H467" s="241" t="s">
        <v>1523</v>
      </c>
      <c r="I467" s="240" t="s">
        <v>1524</v>
      </c>
      <c r="J467" s="1298" t="s">
        <v>1525</v>
      </c>
      <c r="K467" s="243" t="s">
        <v>1526</v>
      </c>
      <c r="L467" s="436"/>
    </row>
    <row r="468" spans="3:12" ht="30.75" thickBot="1" x14ac:dyDescent="0.25">
      <c r="C468" s="1308" t="s">
        <v>2124</v>
      </c>
      <c r="D468" s="1300" t="s">
        <v>2125</v>
      </c>
      <c r="E468" s="1308" t="s">
        <v>938</v>
      </c>
      <c r="F468" s="1309">
        <f>SUM(H478:K478,0)</f>
        <v>426998.82770000002</v>
      </c>
      <c r="G468" s="298"/>
      <c r="H468" s="299">
        <f>+H478</f>
        <v>19464.32</v>
      </c>
      <c r="I468" s="300">
        <f>+I478</f>
        <v>275711.43</v>
      </c>
      <c r="J468" s="300">
        <f>+J478</f>
        <v>128504.32769999999</v>
      </c>
      <c r="K468" s="301">
        <f>+K478</f>
        <v>3318.75</v>
      </c>
      <c r="L468" s="436"/>
    </row>
    <row r="469" spans="3:12" ht="26.25" thickBot="1" x14ac:dyDescent="0.25">
      <c r="C469" s="237" t="s">
        <v>1521</v>
      </c>
      <c r="D469" s="238" t="s">
        <v>930</v>
      </c>
      <c r="E469" s="239" t="s">
        <v>931</v>
      </c>
      <c r="F469" s="240" t="s">
        <v>1522</v>
      </c>
      <c r="G469" s="1302" t="s">
        <v>932</v>
      </c>
      <c r="H469" s="241" t="s">
        <v>1523</v>
      </c>
      <c r="I469" s="240" t="s">
        <v>1524</v>
      </c>
      <c r="J469" s="1298" t="s">
        <v>1525</v>
      </c>
      <c r="K469" s="243" t="s">
        <v>1526</v>
      </c>
      <c r="L469" s="436"/>
    </row>
    <row r="470" spans="3:12" x14ac:dyDescent="0.2">
      <c r="C470" s="1235" t="s">
        <v>1619</v>
      </c>
      <c r="D470" s="1210" t="str">
        <f>VLOOKUP(C470,'Valor Materiales'!B:E,2,0)</f>
        <v>Herramienta Menor General</v>
      </c>
      <c r="E470" s="1211" t="str">
        <f>VLOOKUP(C470,'Valor Materiales'!B:E,3,0)</f>
        <v>Un</v>
      </c>
      <c r="F470" s="254">
        <f>VLOOKUP(C470,'Valor Materiales'!B:E,4,0)</f>
        <v>902</v>
      </c>
      <c r="G470" s="249">
        <v>1</v>
      </c>
      <c r="H470" s="250">
        <f>+G470*F470</f>
        <v>902</v>
      </c>
      <c r="I470" s="251">
        <v>0</v>
      </c>
      <c r="J470" s="248">
        <v>0</v>
      </c>
      <c r="K470" s="1203">
        <v>0</v>
      </c>
      <c r="L470" s="436"/>
    </row>
    <row r="471" spans="3:12" x14ac:dyDescent="0.2">
      <c r="C471" s="1204" t="s">
        <v>1342</v>
      </c>
      <c r="D471" s="1210" t="str">
        <f>VLOOKUP(C471,'Valor Materiales'!B:E,2,0)</f>
        <v>Alquiler Mezcladora 1 Saco a Gasolina</v>
      </c>
      <c r="E471" s="1211" t="str">
        <f>VLOOKUP(C471,'Valor Materiales'!B:E,3,0)</f>
        <v>Día</v>
      </c>
      <c r="F471" s="254">
        <f>VLOOKUP(C471,'Valor Materiales'!B:E,4,0)</f>
        <v>34800</v>
      </c>
      <c r="G471" s="252">
        <v>0.26669999999999999</v>
      </c>
      <c r="H471" s="253">
        <f>+G471*F471</f>
        <v>9281.16</v>
      </c>
      <c r="I471" s="254">
        <v>0</v>
      </c>
      <c r="J471" s="248">
        <v>0</v>
      </c>
      <c r="K471" s="1203">
        <v>0</v>
      </c>
      <c r="L471" s="436"/>
    </row>
    <row r="472" spans="3:12" x14ac:dyDescent="0.2">
      <c r="C472" s="1204" t="s">
        <v>1343</v>
      </c>
      <c r="D472" s="1210" t="str">
        <f>VLOOKUP(C472,'Valor Materiales'!B:E,2,0)</f>
        <v>Alquiler Vibrador Eléctrico</v>
      </c>
      <c r="E472" s="1211" t="str">
        <f>VLOOKUP(C472,'Valor Materiales'!B:E,3,0)</f>
        <v>Día</v>
      </c>
      <c r="F472" s="254">
        <f>VLOOKUP(C472,'Valor Materiales'!B:E,4,0)</f>
        <v>34800</v>
      </c>
      <c r="G472" s="1310">
        <v>0.26669999999999999</v>
      </c>
      <c r="H472" s="253">
        <f>+G472*F472</f>
        <v>9281.16</v>
      </c>
      <c r="I472" s="254">
        <v>0</v>
      </c>
      <c r="J472" s="248">
        <v>0</v>
      </c>
      <c r="K472" s="1203">
        <v>0</v>
      </c>
      <c r="L472" s="436"/>
    </row>
    <row r="473" spans="3:12" x14ac:dyDescent="0.2">
      <c r="C473" s="1267" t="s">
        <v>1290</v>
      </c>
      <c r="D473" s="1210" t="str">
        <f>VLOOKUP(C473,'Valor Materiales'!B:E,2,0)</f>
        <v>Concreto Clase II (21Mpa) Producido en Obra</v>
      </c>
      <c r="E473" s="1211" t="str">
        <f>VLOOKUP(C473,'Valor Materiales'!B:E,3,0)</f>
        <v>M3</v>
      </c>
      <c r="F473" s="254">
        <f>VLOOKUP(C473,'Valor Materiales'!B:E,4,0)</f>
        <v>264681</v>
      </c>
      <c r="G473" s="252">
        <v>1.03</v>
      </c>
      <c r="H473" s="253">
        <v>0</v>
      </c>
      <c r="I473" s="254">
        <f>+G473*F473</f>
        <v>272621.43</v>
      </c>
      <c r="J473" s="251">
        <v>0</v>
      </c>
      <c r="K473" s="255">
        <v>0</v>
      </c>
    </row>
    <row r="474" spans="3:12" x14ac:dyDescent="0.2">
      <c r="C474" s="1206" t="s">
        <v>1250</v>
      </c>
      <c r="D474" s="1210" t="str">
        <f>VLOOKUP(C474,'Valor Materiales'!B:E,2,0)</f>
        <v>Formaleta en madera para anclaje</v>
      </c>
      <c r="E474" s="1211" t="str">
        <f>VLOOKUP(C474,'Valor Materiales'!B:E,3,0)</f>
        <v>Un</v>
      </c>
      <c r="F474" s="254">
        <f>VLOOKUP(C474,'Valor Materiales'!B:E,4,0)</f>
        <v>3000</v>
      </c>
      <c r="G474" s="257">
        <v>1.03</v>
      </c>
      <c r="H474" s="250">
        <v>0</v>
      </c>
      <c r="I474" s="254">
        <f>+G474*F474</f>
        <v>3090</v>
      </c>
      <c r="J474" s="258">
        <v>0</v>
      </c>
      <c r="K474" s="259">
        <v>0</v>
      </c>
    </row>
    <row r="475" spans="3:12" x14ac:dyDescent="0.2">
      <c r="C475" s="1206" t="s">
        <v>1331</v>
      </c>
      <c r="D475" s="1210" t="str">
        <f>VLOOKUP(C475,'Valor Materiales'!B:E,2,0)</f>
        <v>Ensayo de Resistencia a la Compresión del Concreto</v>
      </c>
      <c r="E475" s="1211" t="str">
        <f>VLOOKUP(C475,'Valor Materiales'!B:E,3,0)</f>
        <v>Un</v>
      </c>
      <c r="F475" s="254">
        <f>VLOOKUP(C475,'Valor Materiales'!B:E,4,0)</f>
        <v>5421</v>
      </c>
      <c r="G475" s="257">
        <v>0.15</v>
      </c>
      <c r="H475" s="1268">
        <v>0</v>
      </c>
      <c r="I475" s="254">
        <v>0</v>
      </c>
      <c r="J475" s="258">
        <v>0</v>
      </c>
      <c r="K475" s="259">
        <f>+G475*F475</f>
        <v>813.15</v>
      </c>
    </row>
    <row r="476" spans="3:12" x14ac:dyDescent="0.2">
      <c r="C476" s="1206" t="s">
        <v>1345</v>
      </c>
      <c r="D476" s="1210" t="str">
        <f>VLOOKUP(C476,'Valor Materiales'!B:E,2,0)</f>
        <v>Alquiler Formaletas para Cilindros de Concreto</v>
      </c>
      <c r="E476" s="1211" t="str">
        <f>VLOOKUP(C476,'Valor Materiales'!B:E,3,0)</f>
        <v>Día - Unidad</v>
      </c>
      <c r="F476" s="254">
        <f>VLOOKUP(C476,'Valor Materiales'!B:E,4,0)</f>
        <v>927.99999999999989</v>
      </c>
      <c r="G476" s="257">
        <v>2.7</v>
      </c>
      <c r="H476" s="1268">
        <v>0</v>
      </c>
      <c r="I476" s="254">
        <v>0</v>
      </c>
      <c r="J476" s="258">
        <v>0</v>
      </c>
      <c r="K476" s="259">
        <f>+G476*F476</f>
        <v>2505.6</v>
      </c>
    </row>
    <row r="477" spans="3:12" ht="13.5" thickBot="1" x14ac:dyDescent="0.25">
      <c r="C477" s="1208" t="s">
        <v>1603</v>
      </c>
      <c r="D477" s="1213" t="str">
        <f>VLOOKUP(C477,'Valor Materiales'!B:E,2,0)</f>
        <v>Cuadrilla tipo VII - Producción e Instalación Concreto</v>
      </c>
      <c r="E477" s="1214" t="str">
        <f>VLOOKUP(C477,'Valor Materiales'!B:E,3,0)</f>
        <v>Hr</v>
      </c>
      <c r="F477" s="261">
        <f>VLOOKUP(C477,'Valor Materiales'!B:E,4,0)</f>
        <v>60228.875</v>
      </c>
      <c r="G477" s="262">
        <v>2.1335999999999999</v>
      </c>
      <c r="H477" s="263">
        <v>0</v>
      </c>
      <c r="I477" s="261">
        <v>0</v>
      </c>
      <c r="J477" s="261">
        <f>+G477*F477</f>
        <v>128504.32769999999</v>
      </c>
      <c r="K477" s="264">
        <v>0</v>
      </c>
    </row>
    <row r="478" spans="3:12" ht="13.5" thickBot="1" x14ac:dyDescent="0.25">
      <c r="F478" s="266"/>
      <c r="H478" s="267">
        <f>SUM(H470:H477)</f>
        <v>19464.32</v>
      </c>
      <c r="I478" s="267">
        <f t="shared" ref="I478:K478" si="22">SUM(I470:I477)</f>
        <v>275711.43</v>
      </c>
      <c r="J478" s="267">
        <f t="shared" si="22"/>
        <v>128504.32769999999</v>
      </c>
      <c r="K478" s="267">
        <f t="shared" si="22"/>
        <v>3318.75</v>
      </c>
    </row>
    <row r="479" spans="3:12" s="436" customFormat="1" ht="13.5" thickBot="1" x14ac:dyDescent="0.25">
      <c r="C479" s="1231"/>
      <c r="E479" s="1231"/>
      <c r="F479" s="736"/>
      <c r="G479" s="734"/>
      <c r="H479" s="733"/>
      <c r="I479" s="733"/>
      <c r="J479" s="733"/>
      <c r="K479" s="733"/>
      <c r="L479" s="159"/>
    </row>
    <row r="480" spans="3:12" s="436" customFormat="1" ht="13.5" thickBot="1" x14ac:dyDescent="0.25">
      <c r="C480" s="1215" t="s">
        <v>1518</v>
      </c>
      <c r="D480" s="1216" t="s">
        <v>1519</v>
      </c>
      <c r="E480" s="1215" t="s">
        <v>931</v>
      </c>
      <c r="F480" s="737" t="s">
        <v>1532</v>
      </c>
      <c r="G480" s="1719"/>
      <c r="H480" s="462" t="s">
        <v>1523</v>
      </c>
      <c r="I480" s="460" t="s">
        <v>1524</v>
      </c>
      <c r="J480" s="463" t="s">
        <v>1525</v>
      </c>
      <c r="K480" s="464" t="s">
        <v>1526</v>
      </c>
      <c r="L480" s="159"/>
    </row>
    <row r="481" spans="3:12" s="436" customFormat="1" ht="15" thickBot="1" x14ac:dyDescent="0.25">
      <c r="C481" s="1222" t="s">
        <v>2421</v>
      </c>
      <c r="D481" s="1242" t="s">
        <v>2422</v>
      </c>
      <c r="E481" s="1222" t="s">
        <v>904</v>
      </c>
      <c r="F481" s="738">
        <f>+H481+I481+J481+K481</f>
        <v>36074.779687499999</v>
      </c>
      <c r="G481" s="1720"/>
      <c r="H481" s="741">
        <f>+H487</f>
        <v>902</v>
      </c>
      <c r="I481" s="741">
        <f>+I487</f>
        <v>15220.1</v>
      </c>
      <c r="J481" s="741">
        <f>+J487</f>
        <v>19952.6796875</v>
      </c>
      <c r="K481" s="741">
        <f>+K487</f>
        <v>0</v>
      </c>
      <c r="L481" s="159"/>
    </row>
    <row r="482" spans="3:12" s="436" customFormat="1" ht="13.5" thickBot="1" x14ac:dyDescent="0.25">
      <c r="C482" s="449" t="s">
        <v>1521</v>
      </c>
      <c r="D482" s="450" t="s">
        <v>930</v>
      </c>
      <c r="E482" s="451" t="s">
        <v>931</v>
      </c>
      <c r="F482" s="452" t="s">
        <v>1522</v>
      </c>
      <c r="G482" s="453" t="s">
        <v>932</v>
      </c>
      <c r="H482" s="454" t="s">
        <v>1523</v>
      </c>
      <c r="I482" s="452" t="s">
        <v>1524</v>
      </c>
      <c r="J482" s="455" t="s">
        <v>1525</v>
      </c>
      <c r="K482" s="456" t="s">
        <v>1526</v>
      </c>
      <c r="L482" s="159"/>
    </row>
    <row r="483" spans="3:12" s="436" customFormat="1" ht="13.5" thickBot="1" x14ac:dyDescent="0.25">
      <c r="C483" s="1272" t="s">
        <v>1619</v>
      </c>
      <c r="D483" s="1079" t="s">
        <v>1528</v>
      </c>
      <c r="E483" s="1078" t="s">
        <v>905</v>
      </c>
      <c r="F483" s="1227">
        <v>902</v>
      </c>
      <c r="G483" s="1079">
        <v>1</v>
      </c>
      <c r="H483" s="1281">
        <f>+F483*G483</f>
        <v>902</v>
      </c>
      <c r="I483" s="1282">
        <v>0</v>
      </c>
      <c r="J483" s="1311">
        <v>0</v>
      </c>
      <c r="K483" s="445">
        <v>0</v>
      </c>
      <c r="L483" s="159"/>
    </row>
    <row r="484" spans="3:12" s="436" customFormat="1" ht="13.5" thickBot="1" x14ac:dyDescent="0.25">
      <c r="C484" s="1290">
        <v>5.33</v>
      </c>
      <c r="D484" s="1079" t="s">
        <v>2423</v>
      </c>
      <c r="E484" s="1078" t="s">
        <v>904</v>
      </c>
      <c r="F484" s="1227">
        <v>35000</v>
      </c>
      <c r="G484" s="1244">
        <v>0</v>
      </c>
      <c r="H484" s="1281">
        <f>+F484*G484</f>
        <v>0</v>
      </c>
      <c r="I484" s="447">
        <v>0</v>
      </c>
      <c r="J484" s="1312">
        <v>0</v>
      </c>
      <c r="K484" s="1278">
        <v>0</v>
      </c>
      <c r="L484" s="159"/>
    </row>
    <row r="485" spans="3:12" s="436" customFormat="1" ht="13.5" thickBot="1" x14ac:dyDescent="0.25">
      <c r="C485" s="1290">
        <v>5.29</v>
      </c>
      <c r="D485" s="446" t="s">
        <v>2424</v>
      </c>
      <c r="E485" s="1229" t="s">
        <v>938</v>
      </c>
      <c r="F485" s="1227">
        <v>304402</v>
      </c>
      <c r="G485" s="1244">
        <v>0.05</v>
      </c>
      <c r="H485" s="1281">
        <v>0</v>
      </c>
      <c r="I485" s="447">
        <f>+F485*G485</f>
        <v>15220.1</v>
      </c>
      <c r="J485" s="775">
        <v>0</v>
      </c>
      <c r="K485" s="1225">
        <v>0</v>
      </c>
      <c r="L485" s="159"/>
    </row>
    <row r="486" spans="3:12" s="436" customFormat="1" ht="13.5" thickBot="1" x14ac:dyDescent="0.25">
      <c r="C486" s="1313" t="str">
        <f>+'Valor Materiales'!B10</f>
        <v>1.3</v>
      </c>
      <c r="D486" s="1314" t="str">
        <f>+'Valor Materiales'!C10</f>
        <v>Cuadrilla tipo III (2of + 3ay)</v>
      </c>
      <c r="E486" s="1313" t="s">
        <v>2329</v>
      </c>
      <c r="F486" s="1275">
        <f>+'Valor Materiales'!E10</f>
        <v>39905.359375</v>
      </c>
      <c r="G486" s="1244">
        <v>0.5</v>
      </c>
      <c r="H486" s="1281">
        <v>0</v>
      </c>
      <c r="I486" s="1224">
        <v>0</v>
      </c>
      <c r="J486" s="1312">
        <f>+F486*G486</f>
        <v>19952.6796875</v>
      </c>
      <c r="K486" s="1225">
        <v>0</v>
      </c>
      <c r="L486" s="159"/>
    </row>
    <row r="487" spans="3:12" s="436" customFormat="1" ht="15" thickBot="1" x14ac:dyDescent="0.25">
      <c r="C487" s="1215"/>
      <c r="D487" s="1315"/>
      <c r="E487" s="1215"/>
      <c r="F487" s="1316"/>
      <c r="G487" s="1070"/>
      <c r="H487" s="1064">
        <f>SUM(H483:H486)</f>
        <v>902</v>
      </c>
      <c r="I487" s="1064">
        <f>SUM(I483:I486)</f>
        <v>15220.1</v>
      </c>
      <c r="J487" s="1064">
        <f>SUM(J483:J486)</f>
        <v>19952.6796875</v>
      </c>
      <c r="K487" s="1283">
        <f>SUM(K483:K486)</f>
        <v>0</v>
      </c>
      <c r="L487" s="159"/>
    </row>
    <row r="488" spans="3:12" s="734" customFormat="1" ht="14.25" x14ac:dyDescent="0.2">
      <c r="C488" s="448"/>
      <c r="D488" s="1068"/>
      <c r="E488" s="448"/>
      <c r="F488" s="1069"/>
      <c r="G488" s="1067"/>
      <c r="H488" s="736"/>
      <c r="I488" s="736"/>
      <c r="J488" s="736"/>
      <c r="K488" s="736"/>
      <c r="L488" s="159"/>
    </row>
    <row r="489" spans="3:12" ht="13.5" thickBot="1" x14ac:dyDescent="0.25"/>
    <row r="490" spans="3:12" ht="13.5" thickBot="1" x14ac:dyDescent="0.25">
      <c r="C490" s="1715" t="s">
        <v>2733</v>
      </c>
      <c r="D490" s="1716"/>
      <c r="E490" s="1716"/>
      <c r="F490" s="1716"/>
      <c r="G490" s="1716"/>
      <c r="H490" s="1716"/>
      <c r="I490" s="1716"/>
      <c r="J490" s="1716"/>
      <c r="K490" s="1717"/>
    </row>
    <row r="491" spans="3:12" ht="13.5" thickBot="1" x14ac:dyDescent="0.25">
      <c r="F491" s="266"/>
      <c r="H491" s="1209"/>
      <c r="I491" s="1209"/>
      <c r="J491" s="1209"/>
      <c r="K491" s="1209"/>
    </row>
    <row r="492" spans="3:12" ht="26.25" thickBot="1" x14ac:dyDescent="0.25">
      <c r="C492" s="296" t="s">
        <v>1518</v>
      </c>
      <c r="D492" s="945" t="s">
        <v>1519</v>
      </c>
      <c r="E492" s="296" t="s">
        <v>931</v>
      </c>
      <c r="F492" s="946" t="s">
        <v>1532</v>
      </c>
      <c r="G492" s="297"/>
      <c r="H492" s="241" t="s">
        <v>1523</v>
      </c>
      <c r="I492" s="240" t="s">
        <v>1524</v>
      </c>
      <c r="J492" s="1298" t="s">
        <v>1525</v>
      </c>
      <c r="K492" s="243" t="s">
        <v>1526</v>
      </c>
    </row>
    <row r="493" spans="3:12" ht="15.75" thickBot="1" x14ac:dyDescent="0.25">
      <c r="C493" s="1308">
        <v>13</v>
      </c>
      <c r="D493" s="1300" t="s">
        <v>2723</v>
      </c>
      <c r="E493" s="1308" t="s">
        <v>936</v>
      </c>
      <c r="F493" s="1309">
        <f>SUM(H499:K499,0)</f>
        <v>3286.9890624999998</v>
      </c>
      <c r="G493" s="298"/>
      <c r="H493" s="299">
        <f>+H499</f>
        <v>54.12</v>
      </c>
      <c r="I493" s="300">
        <f>+I499</f>
        <v>2884</v>
      </c>
      <c r="J493" s="300">
        <f>+J499</f>
        <v>348.86906249999998</v>
      </c>
      <c r="K493" s="301">
        <f>+K499</f>
        <v>0</v>
      </c>
    </row>
    <row r="494" spans="3:12" ht="26.25" thickBot="1" x14ac:dyDescent="0.25">
      <c r="C494" s="237" t="s">
        <v>1521</v>
      </c>
      <c r="D494" s="238" t="s">
        <v>930</v>
      </c>
      <c r="E494" s="239" t="s">
        <v>931</v>
      </c>
      <c r="F494" s="240" t="s">
        <v>1522</v>
      </c>
      <c r="G494" s="1302" t="s">
        <v>932</v>
      </c>
      <c r="H494" s="241" t="s">
        <v>1523</v>
      </c>
      <c r="I494" s="240" t="s">
        <v>1524</v>
      </c>
      <c r="J494" s="1298" t="s">
        <v>1525</v>
      </c>
      <c r="K494" s="243" t="s">
        <v>1526</v>
      </c>
    </row>
    <row r="495" spans="3:12" x14ac:dyDescent="0.2">
      <c r="C495" s="1235" t="s">
        <v>1619</v>
      </c>
      <c r="D495" s="1210" t="str">
        <f>VLOOKUP(C495,'Valor Materiales'!B:E,2,0)</f>
        <v>Herramienta Menor General</v>
      </c>
      <c r="E495" s="1211" t="str">
        <f>VLOOKUP(C495,'Valor Materiales'!B:E,3,0)</f>
        <v>Un</v>
      </c>
      <c r="F495" s="244">
        <f>VLOOKUP(C495,'Valor Materiales'!B:E,4,0)</f>
        <v>902</v>
      </c>
      <c r="G495" s="249">
        <v>0.06</v>
      </c>
      <c r="H495" s="269">
        <f>+G495*F495</f>
        <v>54.12</v>
      </c>
      <c r="I495" s="270">
        <v>0</v>
      </c>
      <c r="J495" s="270">
        <v>0</v>
      </c>
      <c r="K495" s="1304">
        <v>0</v>
      </c>
    </row>
    <row r="496" spans="3:12" x14ac:dyDescent="0.2">
      <c r="C496" s="1267" t="str">
        <f>+'Valor Materiales'!B91</f>
        <v>6.2</v>
      </c>
      <c r="D496" s="1210" t="str">
        <f>VLOOKUP(C496,'Valor Materiales'!B:E,2,0)</f>
        <v>Acero de Refuerzo 1/2" a 1 1/4" de 420 MPa</v>
      </c>
      <c r="E496" s="1211" t="str">
        <f>VLOOKUP(C496,'Valor Materiales'!B:E,3,0)</f>
        <v>Kg</v>
      </c>
      <c r="F496" s="254">
        <v>2800</v>
      </c>
      <c r="G496" s="252">
        <v>1</v>
      </c>
      <c r="H496" s="266">
        <v>0</v>
      </c>
      <c r="I496" s="253">
        <f>+G496*F496</f>
        <v>2800</v>
      </c>
      <c r="J496" s="254">
        <v>0</v>
      </c>
      <c r="K496" s="1205">
        <v>0</v>
      </c>
    </row>
    <row r="497" spans="2:12" x14ac:dyDescent="0.2">
      <c r="C497" s="1204" t="str">
        <f>+'Valor Materiales'!B93</f>
        <v>6.4</v>
      </c>
      <c r="D497" s="1210" t="str">
        <f>VLOOKUP(C497,'Valor Materiales'!B:E,2,0)</f>
        <v>Alambre de Amarre Cal 18</v>
      </c>
      <c r="E497" s="1211" t="str">
        <f>VLOOKUP(C497,'Valor Materiales'!B:E,3,0)</f>
        <v>Kg</v>
      </c>
      <c r="F497" s="254">
        <v>2800</v>
      </c>
      <c r="G497" s="1310">
        <v>0.03</v>
      </c>
      <c r="H497" s="1202">
        <v>0</v>
      </c>
      <c r="I497" s="254">
        <f>+G497*F497</f>
        <v>84</v>
      </c>
      <c r="J497" s="248">
        <v>0</v>
      </c>
      <c r="K497" s="1203">
        <v>0</v>
      </c>
    </row>
    <row r="498" spans="2:12" ht="13.5" thickBot="1" x14ac:dyDescent="0.25">
      <c r="C498" s="1208" t="str">
        <f>+'Valor Materiales'!B8</f>
        <v>1.1</v>
      </c>
      <c r="D498" s="1213" t="str">
        <f>VLOOKUP(C498,'Valor Materiales'!B:E,2,0)</f>
        <v>Cuadrilla tipo I (1of + 1ay)</v>
      </c>
      <c r="E498" s="1214" t="str">
        <f>VLOOKUP(C498,'Valor Materiales'!B:E,3,0)</f>
        <v>Hr</v>
      </c>
      <c r="F498" s="261">
        <f>VLOOKUP(C498,'Valor Materiales'!B:E,4,0)</f>
        <v>17443.453125</v>
      </c>
      <c r="G498" s="262">
        <v>0.02</v>
      </c>
      <c r="H498" s="263">
        <v>0</v>
      </c>
      <c r="I498" s="261">
        <v>0</v>
      </c>
      <c r="J498" s="268">
        <f>+G498*F498</f>
        <v>348.86906249999998</v>
      </c>
      <c r="K498" s="264">
        <v>0</v>
      </c>
    </row>
    <row r="499" spans="2:12" ht="13.5" thickBot="1" x14ac:dyDescent="0.25">
      <c r="F499" s="266"/>
      <c r="H499" s="267">
        <f>SUM(H495:H498)</f>
        <v>54.12</v>
      </c>
      <c r="I499" s="267">
        <f>SUM(I495:I498)</f>
        <v>2884</v>
      </c>
      <c r="J499" s="267">
        <f>SUM(J495:J498)</f>
        <v>348.86906249999998</v>
      </c>
      <c r="K499" s="267">
        <f>SUM(K495:K498)</f>
        <v>0</v>
      </c>
    </row>
    <row r="501" spans="2:12" s="993" customFormat="1" x14ac:dyDescent="0.2">
      <c r="C501" s="1317" t="s">
        <v>1518</v>
      </c>
      <c r="D501" s="1317" t="s">
        <v>1519</v>
      </c>
      <c r="E501" s="1317" t="s">
        <v>931</v>
      </c>
      <c r="F501" s="1318" t="s">
        <v>1532</v>
      </c>
      <c r="G501" s="953"/>
      <c r="H501" s="1318" t="s">
        <v>1523</v>
      </c>
      <c r="I501" s="1318" t="s">
        <v>1524</v>
      </c>
      <c r="J501" s="1319" t="s">
        <v>1525</v>
      </c>
      <c r="K501" s="1318" t="s">
        <v>1526</v>
      </c>
      <c r="L501" s="159"/>
    </row>
    <row r="502" spans="2:12" s="993" customFormat="1" ht="38.25" x14ac:dyDescent="0.2">
      <c r="C502" s="1320">
        <v>11.6</v>
      </c>
      <c r="D502" s="1185" t="s">
        <v>2932</v>
      </c>
      <c r="E502" s="1186" t="s">
        <v>905</v>
      </c>
      <c r="F502" s="1187">
        <f>ROUND(SUM(H502:K502),0)</f>
        <v>9489929</v>
      </c>
      <c r="G502" s="953"/>
      <c r="H502" s="981">
        <f>+H513</f>
        <v>85682.567347999997</v>
      </c>
      <c r="I502" s="981">
        <f t="shared" ref="I502:K502" si="23">+I513</f>
        <v>3368101.6031250004</v>
      </c>
      <c r="J502" s="981">
        <f t="shared" si="23"/>
        <v>6033489.6124999998</v>
      </c>
      <c r="K502" s="981">
        <f t="shared" si="23"/>
        <v>2655</v>
      </c>
      <c r="L502" s="159"/>
    </row>
    <row r="503" spans="2:12" s="993" customFormat="1" x14ac:dyDescent="0.2">
      <c r="B503" s="1020"/>
      <c r="C503" s="1321" t="s">
        <v>1521</v>
      </c>
      <c r="D503" s="1322" t="s">
        <v>930</v>
      </c>
      <c r="E503" s="1321" t="s">
        <v>931</v>
      </c>
      <c r="F503" s="1323" t="s">
        <v>1522</v>
      </c>
      <c r="G503" s="1317" t="s">
        <v>932</v>
      </c>
      <c r="H503" s="1323" t="s">
        <v>1523</v>
      </c>
      <c r="I503" s="1323" t="s">
        <v>1524</v>
      </c>
      <c r="J503" s="1324" t="s">
        <v>1525</v>
      </c>
      <c r="K503" s="1323" t="s">
        <v>1526</v>
      </c>
      <c r="L503" s="159"/>
    </row>
    <row r="504" spans="2:12" s="993" customFormat="1" x14ac:dyDescent="0.2">
      <c r="C504" s="1188" t="s">
        <v>1619</v>
      </c>
      <c r="D504" s="1005" t="s">
        <v>1528</v>
      </c>
      <c r="E504" s="1188" t="s">
        <v>905</v>
      </c>
      <c r="F504" s="981">
        <v>902</v>
      </c>
      <c r="G504" s="1005">
        <v>1.8653739999999999</v>
      </c>
      <c r="H504" s="981">
        <f>+F504*G504</f>
        <v>1682.5673479999998</v>
      </c>
      <c r="I504" s="981">
        <v>0</v>
      </c>
      <c r="J504" s="981">
        <v>0</v>
      </c>
      <c r="K504" s="981">
        <v>0</v>
      </c>
      <c r="L504" s="159"/>
    </row>
    <row r="505" spans="2:12" s="993" customFormat="1" x14ac:dyDescent="0.2">
      <c r="C505" s="1188" t="s">
        <v>1342</v>
      </c>
      <c r="D505" s="1005" t="s">
        <v>729</v>
      </c>
      <c r="E505" s="1188" t="s">
        <v>914</v>
      </c>
      <c r="F505" s="981">
        <v>34800</v>
      </c>
      <c r="G505" s="1005">
        <v>1</v>
      </c>
      <c r="H505" s="981">
        <f>+F505*G505</f>
        <v>34800</v>
      </c>
      <c r="I505" s="981">
        <v>0</v>
      </c>
      <c r="J505" s="981">
        <v>0</v>
      </c>
      <c r="K505" s="981">
        <v>0</v>
      </c>
      <c r="L505" s="159"/>
    </row>
    <row r="506" spans="2:12" s="993" customFormat="1" x14ac:dyDescent="0.2">
      <c r="C506" s="1188" t="s">
        <v>1343</v>
      </c>
      <c r="D506" s="1005" t="s">
        <v>730</v>
      </c>
      <c r="E506" s="1188" t="s">
        <v>914</v>
      </c>
      <c r="F506" s="981">
        <v>34800</v>
      </c>
      <c r="G506" s="1005">
        <v>1</v>
      </c>
      <c r="H506" s="981">
        <f>+F506*G506</f>
        <v>34800</v>
      </c>
      <c r="I506" s="981">
        <v>0</v>
      </c>
      <c r="J506" s="981">
        <v>0</v>
      </c>
      <c r="K506" s="981">
        <v>0</v>
      </c>
      <c r="L506" s="159"/>
    </row>
    <row r="507" spans="2:12" s="993" customFormat="1" x14ac:dyDescent="0.2">
      <c r="C507" s="1188" t="s">
        <v>1290</v>
      </c>
      <c r="D507" s="1005" t="s">
        <v>950</v>
      </c>
      <c r="E507" s="1188" t="s">
        <v>938</v>
      </c>
      <c r="F507" s="981">
        <f>F327</f>
        <v>264681</v>
      </c>
      <c r="G507" s="1005">
        <v>5.1100000000000003</v>
      </c>
      <c r="H507" s="981"/>
      <c r="I507" s="981">
        <f>+F507*G507</f>
        <v>1352519.9100000001</v>
      </c>
      <c r="J507" s="981">
        <v>0</v>
      </c>
      <c r="K507" s="981">
        <v>0</v>
      </c>
      <c r="L507" s="159"/>
    </row>
    <row r="508" spans="2:12" s="993" customFormat="1" x14ac:dyDescent="0.2">
      <c r="C508" s="1188" t="s">
        <v>1254</v>
      </c>
      <c r="D508" s="1005" t="s">
        <v>1255</v>
      </c>
      <c r="E508" s="1188" t="s">
        <v>905</v>
      </c>
      <c r="F508" s="981">
        <v>900</v>
      </c>
      <c r="G508" s="1005">
        <v>16</v>
      </c>
      <c r="H508" s="981">
        <f>+F508*G508</f>
        <v>14400</v>
      </c>
      <c r="I508" s="981"/>
      <c r="J508" s="981">
        <v>0</v>
      </c>
      <c r="K508" s="981">
        <v>0</v>
      </c>
      <c r="L508" s="159"/>
    </row>
    <row r="509" spans="2:12" s="993" customFormat="1" x14ac:dyDescent="0.2">
      <c r="C509" s="1188" t="s">
        <v>1331</v>
      </c>
      <c r="D509" s="1005" t="s">
        <v>2067</v>
      </c>
      <c r="E509" s="1188" t="s">
        <v>905</v>
      </c>
      <c r="F509" s="981">
        <v>5421</v>
      </c>
      <c r="G509" s="1005">
        <v>0.12</v>
      </c>
      <c r="H509" s="981"/>
      <c r="I509" s="981">
        <v>0</v>
      </c>
      <c r="J509" s="981">
        <v>0</v>
      </c>
      <c r="K509" s="981">
        <v>650.52</v>
      </c>
      <c r="L509" s="159"/>
    </row>
    <row r="510" spans="2:12" s="993" customFormat="1" x14ac:dyDescent="0.2">
      <c r="C510" s="1188" t="s">
        <v>1345</v>
      </c>
      <c r="D510" s="1005" t="s">
        <v>1668</v>
      </c>
      <c r="E510" s="1188" t="s">
        <v>1669</v>
      </c>
      <c r="F510" s="981">
        <v>927.99999999999989</v>
      </c>
      <c r="G510" s="1005">
        <v>2.16</v>
      </c>
      <c r="H510" s="981"/>
      <c r="I510" s="981">
        <v>0</v>
      </c>
      <c r="J510" s="981">
        <v>0</v>
      </c>
      <c r="K510" s="981">
        <v>2004.4799999999998</v>
      </c>
      <c r="L510" s="159"/>
    </row>
    <row r="511" spans="2:12" s="993" customFormat="1" x14ac:dyDescent="0.2">
      <c r="C511" s="1188" t="s">
        <v>1603</v>
      </c>
      <c r="D511" s="1005" t="s">
        <v>1589</v>
      </c>
      <c r="E511" s="1188" t="s">
        <v>1583</v>
      </c>
      <c r="F511" s="981">
        <v>60334.896124999999</v>
      </c>
      <c r="G511" s="1005">
        <v>100</v>
      </c>
      <c r="H511" s="981"/>
      <c r="I511" s="981">
        <v>0</v>
      </c>
      <c r="J511" s="981">
        <f>+F511*G511</f>
        <v>6033489.6124999998</v>
      </c>
      <c r="K511" s="981">
        <v>0</v>
      </c>
      <c r="L511" s="159"/>
    </row>
    <row r="512" spans="2:12" s="993" customFormat="1" x14ac:dyDescent="0.2">
      <c r="C512" s="1188" t="s">
        <v>2405</v>
      </c>
      <c r="D512" s="1005" t="s">
        <v>2920</v>
      </c>
      <c r="E512" s="1188" t="s">
        <v>936</v>
      </c>
      <c r="F512" s="981">
        <f>F493</f>
        <v>3286.9890624999998</v>
      </c>
      <c r="G512" s="1005">
        <f>G507*120</f>
        <v>613.20000000000005</v>
      </c>
      <c r="H512" s="981"/>
      <c r="I512" s="981">
        <f>+G512*F512</f>
        <v>2015581.693125</v>
      </c>
      <c r="J512" s="981">
        <v>0</v>
      </c>
      <c r="K512" s="981">
        <v>0</v>
      </c>
      <c r="L512" s="159"/>
    </row>
    <row r="513" spans="3:12" s="993" customFormat="1" x14ac:dyDescent="0.2">
      <c r="C513" s="992"/>
      <c r="E513" s="992"/>
      <c r="F513" s="1008"/>
      <c r="G513" s="953"/>
      <c r="H513" s="981">
        <f>SUM(H504:H512)</f>
        <v>85682.567347999997</v>
      </c>
      <c r="I513" s="981">
        <f t="shared" ref="I513:K513" si="24">SUM(I504:I512)</f>
        <v>3368101.6031250004</v>
      </c>
      <c r="J513" s="981">
        <f t="shared" si="24"/>
        <v>6033489.6124999998</v>
      </c>
      <c r="K513" s="981">
        <f t="shared" si="24"/>
        <v>2655</v>
      </c>
      <c r="L513" s="159"/>
    </row>
    <row r="514" spans="3:12" ht="15" x14ac:dyDescent="0.25">
      <c r="L514" s="743"/>
    </row>
    <row r="515" spans="3:12" ht="15" x14ac:dyDescent="0.25">
      <c r="L515" s="743"/>
    </row>
    <row r="516" spans="3:12" ht="15" x14ac:dyDescent="0.25">
      <c r="L516" s="743"/>
    </row>
    <row r="517" spans="3:12" ht="15" x14ac:dyDescent="0.25">
      <c r="L517" s="743"/>
    </row>
    <row r="518" spans="3:12" ht="15" x14ac:dyDescent="0.25">
      <c r="L518" s="743"/>
    </row>
    <row r="519" spans="3:12" x14ac:dyDescent="0.2">
      <c r="L519" s="436"/>
    </row>
    <row r="520" spans="3:12" x14ac:dyDescent="0.2">
      <c r="L520" s="436"/>
    </row>
    <row r="521" spans="3:12" x14ac:dyDescent="0.2">
      <c r="L521" s="436"/>
    </row>
    <row r="522" spans="3:12" x14ac:dyDescent="0.2">
      <c r="L522" s="436"/>
    </row>
    <row r="523" spans="3:12" x14ac:dyDescent="0.2">
      <c r="L523" s="436"/>
    </row>
    <row r="524" spans="3:12" x14ac:dyDescent="0.2">
      <c r="L524" s="436"/>
    </row>
    <row r="525" spans="3:12" x14ac:dyDescent="0.2">
      <c r="L525" s="436"/>
    </row>
    <row r="526" spans="3:12" x14ac:dyDescent="0.2">
      <c r="L526" s="436"/>
    </row>
    <row r="527" spans="3:12" x14ac:dyDescent="0.2">
      <c r="L527" s="436"/>
    </row>
    <row r="528" spans="3:12" x14ac:dyDescent="0.2">
      <c r="L528" s="436"/>
    </row>
    <row r="529" spans="12:12" x14ac:dyDescent="0.2">
      <c r="L529" s="436"/>
    </row>
    <row r="530" spans="12:12" x14ac:dyDescent="0.2">
      <c r="L530" s="436"/>
    </row>
    <row r="531" spans="12:12" x14ac:dyDescent="0.2">
      <c r="L531" s="436"/>
    </row>
    <row r="532" spans="12:12" x14ac:dyDescent="0.2">
      <c r="L532" s="436"/>
    </row>
    <row r="574" spans="12:12" ht="15" x14ac:dyDescent="0.25">
      <c r="L574" s="743"/>
    </row>
    <row r="575" spans="12:12" ht="15" x14ac:dyDescent="0.25">
      <c r="L575" s="743"/>
    </row>
    <row r="576" spans="12:12" ht="15" x14ac:dyDescent="0.25">
      <c r="L576" s="743"/>
    </row>
    <row r="577" spans="12:12" ht="15" x14ac:dyDescent="0.25">
      <c r="L577" s="743"/>
    </row>
    <row r="578" spans="12:12" ht="15" x14ac:dyDescent="0.25">
      <c r="L578" s="743"/>
    </row>
    <row r="579" spans="12:12" x14ac:dyDescent="0.2">
      <c r="L579" s="436"/>
    </row>
    <row r="580" spans="12:12" x14ac:dyDescent="0.2">
      <c r="L580" s="436"/>
    </row>
    <row r="581" spans="12:12" x14ac:dyDescent="0.2">
      <c r="L581" s="436"/>
    </row>
    <row r="582" spans="12:12" x14ac:dyDescent="0.2">
      <c r="L582" s="436"/>
    </row>
    <row r="583" spans="12:12" x14ac:dyDescent="0.2">
      <c r="L583" s="436"/>
    </row>
    <row r="584" spans="12:12" x14ac:dyDescent="0.2">
      <c r="L584" s="436"/>
    </row>
    <row r="585" spans="12:12" x14ac:dyDescent="0.2">
      <c r="L585" s="436"/>
    </row>
    <row r="586" spans="12:12" x14ac:dyDescent="0.2">
      <c r="L586" s="436"/>
    </row>
    <row r="587" spans="12:12" x14ac:dyDescent="0.2">
      <c r="L587" s="436"/>
    </row>
    <row r="588" spans="12:12" x14ac:dyDescent="0.2">
      <c r="L588" s="436"/>
    </row>
    <row r="589" spans="12:12" x14ac:dyDescent="0.2">
      <c r="L589" s="436"/>
    </row>
    <row r="590" spans="12:12" x14ac:dyDescent="0.2">
      <c r="L590" s="436"/>
    </row>
    <row r="591" spans="12:12" x14ac:dyDescent="0.2">
      <c r="L591" s="436"/>
    </row>
    <row r="592" spans="12:12" x14ac:dyDescent="0.2">
      <c r="L592" s="436"/>
    </row>
  </sheetData>
  <sheetProtection algorithmName="SHA-512" hashValue="JOS54dbHVjWa3kHZvDVUJwuG+RnsZ9Nl9G04sGJ9JZvG7em+yw80FxtvODNrdcGqwOYXbO21LLAGrA0XFIyAXw==" saltValue="5wKmgjQIsz4cYb2Sn3eGZw==" spinCount="100000" sheet="1" formatCells="0" formatColumns="0" formatRows="0" insertColumns="0" insertRows="0" insertHyperlinks="0" deleteColumns="0" deleteRows="0" sort="0" autoFilter="0" pivotTables="0"/>
  <mergeCells count="15">
    <mergeCell ref="G480:G481"/>
    <mergeCell ref="C192:K192"/>
    <mergeCell ref="C103:K103"/>
    <mergeCell ref="C490:K490"/>
    <mergeCell ref="C217:K217"/>
    <mergeCell ref="C412:K412"/>
    <mergeCell ref="C175:K175"/>
    <mergeCell ref="C129:K129"/>
    <mergeCell ref="C301:K301"/>
    <mergeCell ref="C2:K2"/>
    <mergeCell ref="C6:K6"/>
    <mergeCell ref="C85:K85"/>
    <mergeCell ref="C58:K58"/>
    <mergeCell ref="C3:K4"/>
    <mergeCell ref="C19:K19"/>
  </mergeCells>
  <phoneticPr fontId="32" type="noConversion"/>
  <printOptions horizontalCentered="1" verticalCentered="1"/>
  <pageMargins left="0.55118110236220474" right="0.55118110236220474" top="0.78740157480314965" bottom="0.78740157480314965" header="0" footer="0"/>
  <pageSetup scale="50" orientation="portrait" r:id="rId1"/>
  <headerFooter alignWithMargins="0"/>
  <rowBreaks count="7" manualBreakCount="7">
    <brk id="57" min="1" max="11" man="1"/>
    <brk id="127" min="1" max="11" man="1"/>
    <brk id="189" min="1" max="11" man="1"/>
    <brk id="248" min="1" max="11" man="1"/>
    <brk id="300" min="1" max="11" man="1"/>
    <brk id="366" min="1" max="11" man="1"/>
    <brk id="425" min="1" max="11" man="1"/>
  </rowBreaks>
  <ignoredErrors>
    <ignoredError sqref="C403:C408 C392 C394:C39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5"/>
  <sheetViews>
    <sheetView view="pageBreakPreview" topLeftCell="A124" zoomScale="90" zoomScaleSheetLayoutView="90" workbookViewId="0">
      <selection activeCell="I146" sqref="I146"/>
    </sheetView>
  </sheetViews>
  <sheetFormatPr baseColWidth="10" defaultRowHeight="12.75" x14ac:dyDescent="0.2"/>
  <cols>
    <col min="1" max="1" width="0.7109375" customWidth="1"/>
    <col min="2" max="2" width="40.28515625" customWidth="1"/>
    <col min="3" max="3" width="8.28515625" bestFit="1" customWidth="1"/>
    <col min="4" max="4" width="8.85546875" bestFit="1" customWidth="1"/>
    <col min="5" max="5" width="10.85546875" bestFit="1" customWidth="1"/>
    <col min="6" max="6" width="19" customWidth="1"/>
    <col min="8" max="8" width="12.42578125" bestFit="1" customWidth="1"/>
  </cols>
  <sheetData>
    <row r="1" spans="2:6" ht="15" x14ac:dyDescent="0.25">
      <c r="B1" s="1730" t="s">
        <v>2083</v>
      </c>
      <c r="C1" s="1730"/>
      <c r="D1" s="1730"/>
      <c r="E1" s="1730"/>
      <c r="F1" s="1730"/>
    </row>
    <row r="2" spans="2:6" ht="5.25" customHeight="1" x14ac:dyDescent="0.2">
      <c r="B2" s="2"/>
      <c r="C2" s="2"/>
      <c r="D2" s="2"/>
      <c r="E2" s="2"/>
      <c r="F2" s="2"/>
    </row>
    <row r="3" spans="2:6" ht="15" x14ac:dyDescent="0.25">
      <c r="B3" s="1730" t="s">
        <v>502</v>
      </c>
      <c r="C3" s="1730"/>
      <c r="D3" s="1730"/>
      <c r="E3" s="1730"/>
      <c r="F3" s="1730"/>
    </row>
    <row r="4" spans="2:6" x14ac:dyDescent="0.2">
      <c r="B4" s="1740">
        <v>42401</v>
      </c>
      <c r="C4" s="1741"/>
      <c r="D4" s="1741"/>
      <c r="E4" s="1741"/>
      <c r="F4" s="1741"/>
    </row>
    <row r="5" spans="2:6" ht="0.75" customHeight="1" x14ac:dyDescent="0.2">
      <c r="B5" s="2"/>
      <c r="C5" s="2"/>
      <c r="D5" s="2"/>
      <c r="E5" s="2"/>
      <c r="F5" s="2"/>
    </row>
    <row r="6" spans="2:6" ht="13.5" thickBot="1" x14ac:dyDescent="0.25"/>
    <row r="7" spans="2:6" x14ac:dyDescent="0.2">
      <c r="B7" s="1742" t="s">
        <v>505</v>
      </c>
      <c r="C7" s="1743"/>
      <c r="D7" s="1743"/>
      <c r="E7" s="1743"/>
      <c r="F7" s="1744"/>
    </row>
    <row r="8" spans="2:6" ht="13.5" thickBot="1" x14ac:dyDescent="0.25">
      <c r="B8" s="1745"/>
      <c r="C8" s="1746"/>
      <c r="D8" s="1746"/>
      <c r="E8" s="1746"/>
      <c r="F8" s="1747"/>
    </row>
    <row r="9" spans="2:6" x14ac:dyDescent="0.2">
      <c r="B9" s="3" t="s">
        <v>906</v>
      </c>
      <c r="C9" s="4" t="s">
        <v>905</v>
      </c>
      <c r="D9" s="5">
        <v>15</v>
      </c>
      <c r="E9" s="6">
        <v>10371</v>
      </c>
      <c r="F9" s="7">
        <f>+D9*E9</f>
        <v>155565</v>
      </c>
    </row>
    <row r="10" spans="2:6" x14ac:dyDescent="0.2">
      <c r="B10" s="3" t="s">
        <v>907</v>
      </c>
      <c r="C10" s="4" t="s">
        <v>905</v>
      </c>
      <c r="D10" s="5">
        <v>15</v>
      </c>
      <c r="E10" s="6">
        <v>16200</v>
      </c>
      <c r="F10" s="7">
        <f>+D10*E10</f>
        <v>243000</v>
      </c>
    </row>
    <row r="11" spans="2:6" x14ac:dyDescent="0.2">
      <c r="B11" s="3" t="s">
        <v>507</v>
      </c>
      <c r="C11" s="4" t="s">
        <v>905</v>
      </c>
      <c r="D11" s="5">
        <v>4</v>
      </c>
      <c r="E11" s="6">
        <v>11200</v>
      </c>
      <c r="F11" s="7">
        <f t="shared" ref="F11:F19" si="0">+D11*E11</f>
        <v>44800</v>
      </c>
    </row>
    <row r="12" spans="2:6" x14ac:dyDescent="0.2">
      <c r="B12" s="3" t="s">
        <v>908</v>
      </c>
      <c r="C12" s="4" t="s">
        <v>905</v>
      </c>
      <c r="D12" s="5">
        <v>4</v>
      </c>
      <c r="E12" s="6">
        <v>28610</v>
      </c>
      <c r="F12" s="7">
        <f t="shared" si="0"/>
        <v>114440</v>
      </c>
    </row>
    <row r="13" spans="2:6" x14ac:dyDescent="0.2">
      <c r="B13" s="3" t="s">
        <v>909</v>
      </c>
      <c r="C13" s="4" t="s">
        <v>905</v>
      </c>
      <c r="D13" s="5">
        <v>2</v>
      </c>
      <c r="E13" s="6">
        <v>34660</v>
      </c>
      <c r="F13" s="7">
        <f t="shared" si="0"/>
        <v>69320</v>
      </c>
    </row>
    <row r="14" spans="2:6" x14ac:dyDescent="0.2">
      <c r="B14" s="3" t="s">
        <v>910</v>
      </c>
      <c r="C14" s="4" t="s">
        <v>905</v>
      </c>
      <c r="D14" s="5">
        <v>25</v>
      </c>
      <c r="E14" s="6">
        <v>1800</v>
      </c>
      <c r="F14" s="7">
        <f t="shared" si="0"/>
        <v>45000</v>
      </c>
    </row>
    <row r="15" spans="2:6" x14ac:dyDescent="0.2">
      <c r="B15" s="3" t="s">
        <v>911</v>
      </c>
      <c r="C15" s="4" t="s">
        <v>905</v>
      </c>
      <c r="D15" s="5">
        <v>9</v>
      </c>
      <c r="E15" s="6">
        <v>137600</v>
      </c>
      <c r="F15" s="7">
        <f t="shared" si="0"/>
        <v>1238400</v>
      </c>
    </row>
    <row r="16" spans="2:6" x14ac:dyDescent="0.2">
      <c r="B16" s="3" t="s">
        <v>923</v>
      </c>
      <c r="C16" s="4" t="s">
        <v>1265</v>
      </c>
      <c r="D16" s="5">
        <v>30</v>
      </c>
      <c r="E16" s="6">
        <v>1100</v>
      </c>
      <c r="F16" s="7">
        <f t="shared" si="0"/>
        <v>33000</v>
      </c>
    </row>
    <row r="17" spans="2:8" x14ac:dyDescent="0.2">
      <c r="B17" s="3" t="s">
        <v>1279</v>
      </c>
      <c r="C17" s="4" t="s">
        <v>904</v>
      </c>
      <c r="D17" s="5">
        <v>60</v>
      </c>
      <c r="E17" s="6">
        <v>1435</v>
      </c>
      <c r="F17" s="7">
        <f t="shared" si="0"/>
        <v>86100</v>
      </c>
    </row>
    <row r="18" spans="2:8" x14ac:dyDescent="0.2">
      <c r="B18" s="3" t="s">
        <v>1280</v>
      </c>
      <c r="C18" s="4" t="s">
        <v>905</v>
      </c>
      <c r="D18" s="5">
        <v>12</v>
      </c>
      <c r="E18" s="6">
        <v>2800</v>
      </c>
      <c r="F18" s="7">
        <f t="shared" si="0"/>
        <v>33600</v>
      </c>
    </row>
    <row r="19" spans="2:8" x14ac:dyDescent="0.2">
      <c r="B19" s="3" t="s">
        <v>1259</v>
      </c>
      <c r="C19" s="8" t="s">
        <v>905</v>
      </c>
      <c r="D19" s="5">
        <v>10</v>
      </c>
      <c r="E19" s="9">
        <v>6500</v>
      </c>
      <c r="F19" s="7">
        <f t="shared" si="0"/>
        <v>65000</v>
      </c>
    </row>
    <row r="20" spans="2:8" x14ac:dyDescent="0.2">
      <c r="B20" s="10" t="s">
        <v>915</v>
      </c>
      <c r="C20" s="10"/>
      <c r="D20" s="11"/>
      <c r="E20" s="12"/>
      <c r="F20" s="13">
        <f>SUM(F9:F19)</f>
        <v>2128225</v>
      </c>
    </row>
    <row r="21" spans="2:8" x14ac:dyDescent="0.2">
      <c r="B21" s="14" t="s">
        <v>912</v>
      </c>
      <c r="C21" s="15"/>
      <c r="D21" s="5">
        <v>2</v>
      </c>
      <c r="E21" s="16"/>
      <c r="F21" s="7" t="s">
        <v>504</v>
      </c>
    </row>
    <row r="22" spans="2:8" x14ac:dyDescent="0.2">
      <c r="B22" s="10" t="s">
        <v>916</v>
      </c>
      <c r="C22" s="10" t="s">
        <v>913</v>
      </c>
      <c r="D22" s="17"/>
      <c r="E22" s="18"/>
      <c r="F22" s="19">
        <v>1064113</v>
      </c>
    </row>
    <row r="23" spans="2:8" ht="9" customHeight="1" thickBot="1" x14ac:dyDescent="0.25">
      <c r="B23" s="20"/>
      <c r="C23" s="21"/>
      <c r="D23" s="22"/>
      <c r="E23" s="16"/>
      <c r="F23" s="23"/>
    </row>
    <row r="24" spans="2:8" x14ac:dyDescent="0.2">
      <c r="B24" s="1731" t="s">
        <v>921</v>
      </c>
      <c r="C24" s="1732"/>
      <c r="D24" s="1732"/>
      <c r="E24" s="1732"/>
      <c r="F24" s="1733"/>
    </row>
    <row r="25" spans="2:8" ht="13.5" thickBot="1" x14ac:dyDescent="0.25">
      <c r="B25" s="1734"/>
      <c r="C25" s="1735"/>
      <c r="D25" s="1735"/>
      <c r="E25" s="1735"/>
      <c r="F25" s="1736"/>
    </row>
    <row r="26" spans="2:8" x14ac:dyDescent="0.2">
      <c r="B26" s="1737" t="s">
        <v>1273</v>
      </c>
      <c r="C26" s="1738"/>
      <c r="D26" s="1738"/>
      <c r="E26" s="1738"/>
      <c r="F26" s="1739"/>
    </row>
    <row r="27" spans="2:8" x14ac:dyDescent="0.2">
      <c r="B27" s="1727"/>
      <c r="C27" s="1728"/>
      <c r="D27" s="1728"/>
      <c r="E27" s="1728"/>
      <c r="F27" s="1729"/>
      <c r="G27" s="24"/>
    </row>
    <row r="28" spans="2:8" x14ac:dyDescent="0.2">
      <c r="B28" s="25" t="s">
        <v>1274</v>
      </c>
      <c r="C28" s="26" t="s">
        <v>914</v>
      </c>
      <c r="D28" s="27">
        <v>1</v>
      </c>
      <c r="E28" s="28">
        <v>46800</v>
      </c>
      <c r="F28" s="29">
        <f>+D28*E28</f>
        <v>46800</v>
      </c>
      <c r="G28" s="24"/>
      <c r="H28" s="44"/>
    </row>
    <row r="29" spans="2:8" x14ac:dyDescent="0.2">
      <c r="B29" s="3" t="s">
        <v>1275</v>
      </c>
      <c r="C29" s="4" t="s">
        <v>914</v>
      </c>
      <c r="D29" s="30">
        <v>1</v>
      </c>
      <c r="E29" s="16">
        <v>27941.5</v>
      </c>
      <c r="F29" s="29">
        <f>+D29*E29</f>
        <v>27941.5</v>
      </c>
      <c r="G29" s="24"/>
      <c r="H29" s="44"/>
    </row>
    <row r="30" spans="2:8" x14ac:dyDescent="0.2">
      <c r="B30" s="3" t="s">
        <v>1260</v>
      </c>
      <c r="C30" s="4" t="s">
        <v>914</v>
      </c>
      <c r="D30" s="30">
        <v>0.1</v>
      </c>
      <c r="E30" s="16">
        <v>50000</v>
      </c>
      <c r="F30" s="29">
        <f>+D30*E30</f>
        <v>5000</v>
      </c>
      <c r="H30" s="44"/>
    </row>
    <row r="31" spans="2:8" x14ac:dyDescent="0.2">
      <c r="B31" s="31" t="s">
        <v>1262</v>
      </c>
      <c r="C31" s="32" t="s">
        <v>914</v>
      </c>
      <c r="D31" s="11">
        <v>0.75</v>
      </c>
      <c r="E31" s="12">
        <f>SUM(F28:F30)</f>
        <v>79741.5</v>
      </c>
      <c r="F31" s="29">
        <f>+D31*E31</f>
        <v>59806.125</v>
      </c>
    </row>
    <row r="32" spans="2:8" x14ac:dyDescent="0.2">
      <c r="B32" s="34" t="s">
        <v>1261</v>
      </c>
      <c r="C32" s="35"/>
      <c r="D32" s="35"/>
      <c r="E32" s="36"/>
      <c r="F32" s="37">
        <f>SUM(F28:F31)</f>
        <v>139547.625</v>
      </c>
    </row>
    <row r="33" spans="2:6" x14ac:dyDescent="0.2">
      <c r="B33" s="34" t="s">
        <v>503</v>
      </c>
      <c r="C33" s="35"/>
      <c r="D33" s="35"/>
      <c r="E33" s="36"/>
      <c r="F33" s="37">
        <f>+F32/8</f>
        <v>17443.453125</v>
      </c>
    </row>
    <row r="35" spans="2:6" ht="12" customHeight="1" x14ac:dyDescent="0.2">
      <c r="B35" s="1724" t="s">
        <v>1263</v>
      </c>
      <c r="C35" s="1725"/>
      <c r="D35" s="1725"/>
      <c r="E35" s="1725"/>
      <c r="F35" s="1726"/>
    </row>
    <row r="36" spans="2:6" x14ac:dyDescent="0.2">
      <c r="B36" s="1727"/>
      <c r="C36" s="1728"/>
      <c r="D36" s="1728"/>
      <c r="E36" s="1728"/>
      <c r="F36" s="1729"/>
    </row>
    <row r="37" spans="2:6" x14ac:dyDescent="0.2">
      <c r="B37" s="25" t="s">
        <v>1274</v>
      </c>
      <c r="C37" s="26" t="s">
        <v>914</v>
      </c>
      <c r="D37" s="27">
        <v>1</v>
      </c>
      <c r="E37" s="28">
        <f>+E28</f>
        <v>46800</v>
      </c>
      <c r="F37" s="29">
        <f>+D37*E37</f>
        <v>46800</v>
      </c>
    </row>
    <row r="38" spans="2:6" x14ac:dyDescent="0.2">
      <c r="B38" s="3" t="s">
        <v>1275</v>
      </c>
      <c r="C38" s="4" t="s">
        <v>914</v>
      </c>
      <c r="D38" s="30">
        <v>2</v>
      </c>
      <c r="E38" s="16">
        <f>+E29</f>
        <v>27941.5</v>
      </c>
      <c r="F38" s="29">
        <f>+D38*E38</f>
        <v>55883</v>
      </c>
    </row>
    <row r="39" spans="2:6" x14ac:dyDescent="0.2">
      <c r="B39" s="3" t="s">
        <v>1260</v>
      </c>
      <c r="C39" s="4" t="s">
        <v>914</v>
      </c>
      <c r="D39" s="30">
        <v>0.05</v>
      </c>
      <c r="E39" s="16">
        <f>+E30</f>
        <v>50000</v>
      </c>
      <c r="F39" s="29">
        <f>+D39*E39</f>
        <v>2500</v>
      </c>
    </row>
    <row r="40" spans="2:6" x14ac:dyDescent="0.2">
      <c r="B40" s="31" t="s">
        <v>1262</v>
      </c>
      <c r="C40" s="32" t="s">
        <v>914</v>
      </c>
      <c r="D40" s="11">
        <f>+D31</f>
        <v>0.75</v>
      </c>
      <c r="E40" s="12">
        <f>SUM(F37:F39)</f>
        <v>105183</v>
      </c>
      <c r="F40" s="29">
        <f>+D40*E40</f>
        <v>78887.25</v>
      </c>
    </row>
    <row r="41" spans="2:6" x14ac:dyDescent="0.2">
      <c r="B41" s="34" t="s">
        <v>1261</v>
      </c>
      <c r="C41" s="35"/>
      <c r="D41" s="35"/>
      <c r="E41" s="36"/>
      <c r="F41" s="37">
        <f>SUM(F37:F40)</f>
        <v>184070.25</v>
      </c>
    </row>
    <row r="42" spans="2:6" x14ac:dyDescent="0.2">
      <c r="B42" s="34" t="s">
        <v>503</v>
      </c>
      <c r="C42" s="35"/>
      <c r="D42" s="35"/>
      <c r="E42" s="36"/>
      <c r="F42" s="37">
        <f>+F41/8</f>
        <v>23008.78125</v>
      </c>
    </row>
    <row r="44" spans="2:6" ht="12" customHeight="1" x14ac:dyDescent="0.2">
      <c r="B44" s="1724" t="s">
        <v>1264</v>
      </c>
      <c r="C44" s="1725"/>
      <c r="D44" s="1725"/>
      <c r="E44" s="1725"/>
      <c r="F44" s="1726"/>
    </row>
    <row r="45" spans="2:6" x14ac:dyDescent="0.2">
      <c r="B45" s="1727"/>
      <c r="C45" s="1728"/>
      <c r="D45" s="1728"/>
      <c r="E45" s="1728"/>
      <c r="F45" s="1729"/>
    </row>
    <row r="46" spans="2:6" x14ac:dyDescent="0.2">
      <c r="B46" s="3" t="s">
        <v>1274</v>
      </c>
      <c r="C46" s="4" t="s">
        <v>914</v>
      </c>
      <c r="D46" s="38">
        <v>2</v>
      </c>
      <c r="E46" s="7">
        <f>+E37</f>
        <v>46800</v>
      </c>
      <c r="F46" s="33">
        <f>+D46*E46</f>
        <v>93600</v>
      </c>
    </row>
    <row r="47" spans="2:6" x14ac:dyDescent="0.2">
      <c r="B47" s="3" t="s">
        <v>1275</v>
      </c>
      <c r="C47" s="4" t="s">
        <v>914</v>
      </c>
      <c r="D47" s="38">
        <v>3</v>
      </c>
      <c r="E47" s="7">
        <f>+E38</f>
        <v>27941.5</v>
      </c>
      <c r="F47" s="33">
        <f>+D47*E47</f>
        <v>83824.5</v>
      </c>
    </row>
    <row r="48" spans="2:6" x14ac:dyDescent="0.2">
      <c r="B48" s="3" t="s">
        <v>1260</v>
      </c>
      <c r="C48" s="4" t="s">
        <v>914</v>
      </c>
      <c r="D48" s="38">
        <v>0.1</v>
      </c>
      <c r="E48" s="39">
        <f>+E39</f>
        <v>50000</v>
      </c>
      <c r="F48" s="33">
        <f>+D48*E48</f>
        <v>5000</v>
      </c>
    </row>
    <row r="49" spans="1:6" x14ac:dyDescent="0.2">
      <c r="A49" s="40"/>
      <c r="B49" s="31" t="s">
        <v>1262</v>
      </c>
      <c r="C49" s="32" t="s">
        <v>914</v>
      </c>
      <c r="D49" s="41">
        <f>+D40</f>
        <v>0.75</v>
      </c>
      <c r="E49" s="33">
        <f>SUM(F46:F48)</f>
        <v>182424.5</v>
      </c>
      <c r="F49" s="33">
        <f>+D49*E49</f>
        <v>136818.375</v>
      </c>
    </row>
    <row r="50" spans="1:6" x14ac:dyDescent="0.2">
      <c r="B50" s="34" t="s">
        <v>1261</v>
      </c>
      <c r="C50" s="35"/>
      <c r="D50" s="35"/>
      <c r="E50" s="36"/>
      <c r="F50" s="37">
        <f>SUM(F46:F49)</f>
        <v>319242.875</v>
      </c>
    </row>
    <row r="51" spans="1:6" x14ac:dyDescent="0.2">
      <c r="B51" s="34" t="s">
        <v>503</v>
      </c>
      <c r="C51" s="35"/>
      <c r="D51" s="35"/>
      <c r="E51" s="36"/>
      <c r="F51" s="37">
        <f>+F50/8</f>
        <v>39905.359375</v>
      </c>
    </row>
    <row r="53" spans="1:6" x14ac:dyDescent="0.2">
      <c r="B53" s="1724" t="s">
        <v>924</v>
      </c>
      <c r="C53" s="1725"/>
      <c r="D53" s="1725"/>
      <c r="E53" s="1725"/>
      <c r="F53" s="1726"/>
    </row>
    <row r="54" spans="1:6" x14ac:dyDescent="0.2">
      <c r="B54" s="1727"/>
      <c r="C54" s="1728"/>
      <c r="D54" s="1728"/>
      <c r="E54" s="1728"/>
      <c r="F54" s="1729"/>
    </row>
    <row r="55" spans="1:6" x14ac:dyDescent="0.2">
      <c r="B55" s="25" t="s">
        <v>1274</v>
      </c>
      <c r="C55" s="26" t="s">
        <v>914</v>
      </c>
      <c r="D55" s="27">
        <v>0</v>
      </c>
      <c r="E55" s="28">
        <f>+E46</f>
        <v>46800</v>
      </c>
      <c r="F55" s="29">
        <f>+D55*E55</f>
        <v>0</v>
      </c>
    </row>
    <row r="56" spans="1:6" x14ac:dyDescent="0.2">
      <c r="B56" s="3" t="s">
        <v>1275</v>
      </c>
      <c r="C56" s="4" t="s">
        <v>914</v>
      </c>
      <c r="D56" s="30">
        <v>4</v>
      </c>
      <c r="E56" s="16">
        <f>+E47</f>
        <v>27941.5</v>
      </c>
      <c r="F56" s="29">
        <f>+D56*E56</f>
        <v>111766</v>
      </c>
    </row>
    <row r="57" spans="1:6" x14ac:dyDescent="0.2">
      <c r="B57" s="3" t="s">
        <v>1260</v>
      </c>
      <c r="C57" s="4" t="s">
        <v>914</v>
      </c>
      <c r="D57" s="30">
        <v>0.03</v>
      </c>
      <c r="E57" s="16">
        <f>+E48</f>
        <v>50000</v>
      </c>
      <c r="F57" s="29">
        <f>+D57*E57</f>
        <v>1500</v>
      </c>
    </row>
    <row r="58" spans="1:6" x14ac:dyDescent="0.2">
      <c r="B58" s="31" t="s">
        <v>1262</v>
      </c>
      <c r="C58" s="32" t="s">
        <v>914</v>
      </c>
      <c r="D58" s="11">
        <f>+D49</f>
        <v>0.75</v>
      </c>
      <c r="E58" s="12">
        <f>SUM(F55:F57)</f>
        <v>113266</v>
      </c>
      <c r="F58" s="29">
        <f>+D58*E58</f>
        <v>84949.5</v>
      </c>
    </row>
    <row r="59" spans="1:6" x14ac:dyDescent="0.2">
      <c r="B59" s="34" t="s">
        <v>1261</v>
      </c>
      <c r="C59" s="35"/>
      <c r="D59" s="35"/>
      <c r="E59" s="36"/>
      <c r="F59" s="37">
        <f>SUM(F55:F58)</f>
        <v>198215.5</v>
      </c>
    </row>
    <row r="60" spans="1:6" x14ac:dyDescent="0.2">
      <c r="B60" s="34" t="s">
        <v>503</v>
      </c>
      <c r="C60" s="35"/>
      <c r="D60" s="35"/>
      <c r="E60" s="36"/>
      <c r="F60" s="37">
        <f>+F59/8</f>
        <v>24776.9375</v>
      </c>
    </row>
    <row r="62" spans="1:6" ht="9.75" customHeight="1" x14ac:dyDescent="0.2">
      <c r="B62" s="1724" t="s">
        <v>922</v>
      </c>
      <c r="C62" s="1725"/>
      <c r="D62" s="1725"/>
      <c r="E62" s="1725"/>
      <c r="F62" s="1726"/>
    </row>
    <row r="63" spans="1:6" x14ac:dyDescent="0.2">
      <c r="B63" s="1727"/>
      <c r="C63" s="1728"/>
      <c r="D63" s="1728"/>
      <c r="E63" s="1728"/>
      <c r="F63" s="1729"/>
    </row>
    <row r="64" spans="1:6" x14ac:dyDescent="0.2">
      <c r="B64" s="25" t="s">
        <v>1274</v>
      </c>
      <c r="C64" s="26" t="s">
        <v>914</v>
      </c>
      <c r="D64" s="27">
        <v>0</v>
      </c>
      <c r="E64" s="42">
        <f>+E55</f>
        <v>46800</v>
      </c>
      <c r="F64" s="29">
        <f>+D64*E64</f>
        <v>0</v>
      </c>
    </row>
    <row r="65" spans="2:6" x14ac:dyDescent="0.2">
      <c r="B65" s="3" t="s">
        <v>1275</v>
      </c>
      <c r="C65" s="4" t="s">
        <v>914</v>
      </c>
      <c r="D65" s="30">
        <v>3</v>
      </c>
      <c r="E65" s="43">
        <f>+E56</f>
        <v>27941.5</v>
      </c>
      <c r="F65" s="29">
        <f>+D65*E65</f>
        <v>83824.5</v>
      </c>
    </row>
    <row r="66" spans="2:6" x14ac:dyDescent="0.2">
      <c r="B66" s="3" t="s">
        <v>1260</v>
      </c>
      <c r="C66" s="4" t="s">
        <v>914</v>
      </c>
      <c r="D66" s="30">
        <v>0</v>
      </c>
      <c r="E66" s="16">
        <f>+E57</f>
        <v>50000</v>
      </c>
      <c r="F66" s="29">
        <f>+D66*E66</f>
        <v>0</v>
      </c>
    </row>
    <row r="67" spans="2:6" x14ac:dyDescent="0.2">
      <c r="B67" s="31" t="s">
        <v>1262</v>
      </c>
      <c r="C67" s="32" t="s">
        <v>914</v>
      </c>
      <c r="D67" s="11">
        <f>+D58</f>
        <v>0.75</v>
      </c>
      <c r="E67" s="12">
        <f>SUM(F64:F66)</f>
        <v>83824.5</v>
      </c>
      <c r="F67" s="29">
        <f>+D67*E67</f>
        <v>62868.375</v>
      </c>
    </row>
    <row r="68" spans="2:6" x14ac:dyDescent="0.2">
      <c r="B68" s="34" t="s">
        <v>1261</v>
      </c>
      <c r="C68" s="35"/>
      <c r="D68" s="35"/>
      <c r="E68" s="36"/>
      <c r="F68" s="37">
        <f>SUM(F64:F67)</f>
        <v>146692.875</v>
      </c>
    </row>
    <row r="69" spans="2:6" x14ac:dyDescent="0.2">
      <c r="B69" s="34" t="s">
        <v>503</v>
      </c>
      <c r="C69" s="35"/>
      <c r="D69" s="35"/>
      <c r="E69" s="36"/>
      <c r="F69" s="37">
        <f>+F68/8</f>
        <v>18336.609375</v>
      </c>
    </row>
    <row r="71" spans="2:6" ht="6.75" customHeight="1" x14ac:dyDescent="0.2">
      <c r="B71" s="1724" t="s">
        <v>925</v>
      </c>
      <c r="C71" s="1725"/>
      <c r="D71" s="1725"/>
      <c r="E71" s="1725"/>
      <c r="F71" s="1726"/>
    </row>
    <row r="72" spans="2:6" x14ac:dyDescent="0.2">
      <c r="B72" s="1727"/>
      <c r="C72" s="1728"/>
      <c r="D72" s="1728"/>
      <c r="E72" s="1728"/>
      <c r="F72" s="1729"/>
    </row>
    <row r="73" spans="2:6" x14ac:dyDescent="0.2">
      <c r="B73" s="25" t="s">
        <v>1274</v>
      </c>
      <c r="C73" s="26" t="s">
        <v>914</v>
      </c>
      <c r="D73" s="27">
        <v>0</v>
      </c>
      <c r="E73" s="42">
        <f>+E64</f>
        <v>46800</v>
      </c>
      <c r="F73" s="29">
        <f>+D73*E73</f>
        <v>0</v>
      </c>
    </row>
    <row r="74" spans="2:6" x14ac:dyDescent="0.2">
      <c r="B74" s="3" t="s">
        <v>1275</v>
      </c>
      <c r="C74" s="4" t="s">
        <v>914</v>
      </c>
      <c r="D74" s="30">
        <v>6</v>
      </c>
      <c r="E74" s="16">
        <f>+E65</f>
        <v>27941.5</v>
      </c>
      <c r="F74" s="29">
        <f>+D74*E74</f>
        <v>167649</v>
      </c>
    </row>
    <row r="75" spans="2:6" x14ac:dyDescent="0.2">
      <c r="B75" s="3" t="s">
        <v>1260</v>
      </c>
      <c r="C75" s="4" t="s">
        <v>914</v>
      </c>
      <c r="D75" s="30">
        <v>0.1</v>
      </c>
      <c r="E75" s="16">
        <f>+E66</f>
        <v>50000</v>
      </c>
      <c r="F75" s="29">
        <f>+D75*E75</f>
        <v>5000</v>
      </c>
    </row>
    <row r="76" spans="2:6" x14ac:dyDescent="0.2">
      <c r="B76" s="31" t="s">
        <v>1262</v>
      </c>
      <c r="C76" s="32" t="s">
        <v>914</v>
      </c>
      <c r="D76" s="11">
        <f>+D67</f>
        <v>0.75</v>
      </c>
      <c r="E76" s="12">
        <f>SUM(F73:F75)</f>
        <v>172649</v>
      </c>
      <c r="F76" s="29">
        <f>+D76*E76</f>
        <v>129486.75</v>
      </c>
    </row>
    <row r="77" spans="2:6" x14ac:dyDescent="0.2">
      <c r="B77" s="34" t="s">
        <v>1261</v>
      </c>
      <c r="C77" s="35"/>
      <c r="D77" s="35"/>
      <c r="E77" s="36"/>
      <c r="F77" s="37">
        <f>SUM(F73:F76)</f>
        <v>302135.75</v>
      </c>
    </row>
    <row r="78" spans="2:6" x14ac:dyDescent="0.2">
      <c r="B78" s="34" t="s">
        <v>503</v>
      </c>
      <c r="C78" s="35"/>
      <c r="D78" s="35"/>
      <c r="E78" s="36"/>
      <c r="F78" s="37">
        <f>+F77/8</f>
        <v>37766.96875</v>
      </c>
    </row>
    <row r="80" spans="2:6" ht="10.5" customHeight="1" x14ac:dyDescent="0.2">
      <c r="B80" s="1724" t="s">
        <v>917</v>
      </c>
      <c r="C80" s="1725"/>
      <c r="D80" s="1725"/>
      <c r="E80" s="1725"/>
      <c r="F80" s="1726"/>
    </row>
    <row r="81" spans="2:6" x14ac:dyDescent="0.2">
      <c r="B81" s="1727"/>
      <c r="C81" s="1728"/>
      <c r="D81" s="1728"/>
      <c r="E81" s="1728"/>
      <c r="F81" s="1729"/>
    </row>
    <row r="82" spans="2:6" x14ac:dyDescent="0.2">
      <c r="B82" s="25" t="s">
        <v>1274</v>
      </c>
      <c r="C82" s="26" t="s">
        <v>914</v>
      </c>
      <c r="D82" s="27">
        <v>1</v>
      </c>
      <c r="E82" s="28">
        <f>+E73</f>
        <v>46800</v>
      </c>
      <c r="F82" s="29">
        <f>+D82*E82</f>
        <v>46800</v>
      </c>
    </row>
    <row r="83" spans="2:6" x14ac:dyDescent="0.2">
      <c r="B83" s="3" t="s">
        <v>1275</v>
      </c>
      <c r="C83" s="4" t="s">
        <v>914</v>
      </c>
      <c r="D83" s="30">
        <v>8</v>
      </c>
      <c r="E83" s="16">
        <f>+E74</f>
        <v>27941.5</v>
      </c>
      <c r="F83" s="29">
        <f>+D83*E83</f>
        <v>223532</v>
      </c>
    </row>
    <row r="84" spans="2:6" x14ac:dyDescent="0.2">
      <c r="B84" s="3" t="s">
        <v>1260</v>
      </c>
      <c r="C84" s="4" t="s">
        <v>914</v>
      </c>
      <c r="D84" s="30">
        <v>0.1</v>
      </c>
      <c r="E84" s="16">
        <f>+E75</f>
        <v>50000</v>
      </c>
      <c r="F84" s="29">
        <f>+D84*E84</f>
        <v>5000</v>
      </c>
    </row>
    <row r="85" spans="2:6" x14ac:dyDescent="0.2">
      <c r="B85" s="31" t="s">
        <v>1262</v>
      </c>
      <c r="C85" s="32" t="s">
        <v>914</v>
      </c>
      <c r="D85" s="11">
        <f>+D76</f>
        <v>0.75</v>
      </c>
      <c r="E85" s="12">
        <f>SUM(F82:F84)</f>
        <v>275332</v>
      </c>
      <c r="F85" s="29">
        <f>+D85*E85</f>
        <v>206499</v>
      </c>
    </row>
    <row r="86" spans="2:6" x14ac:dyDescent="0.2">
      <c r="B86" s="34" t="s">
        <v>1261</v>
      </c>
      <c r="C86" s="35"/>
      <c r="D86" s="35"/>
      <c r="E86" s="36"/>
      <c r="F86" s="37">
        <f>SUM(F82:F85)</f>
        <v>481831</v>
      </c>
    </row>
    <row r="87" spans="2:6" x14ac:dyDescent="0.2">
      <c r="B87" s="34" t="s">
        <v>503</v>
      </c>
      <c r="C87" s="35"/>
      <c r="D87" s="35"/>
      <c r="E87" s="36"/>
      <c r="F87" s="37">
        <f>+F86/8</f>
        <v>60228.875</v>
      </c>
    </row>
    <row r="89" spans="2:6" x14ac:dyDescent="0.2">
      <c r="B89" s="1724" t="s">
        <v>506</v>
      </c>
      <c r="C89" s="1725"/>
      <c r="D89" s="1725"/>
      <c r="E89" s="1725"/>
      <c r="F89" s="1726"/>
    </row>
    <row r="90" spans="2:6" x14ac:dyDescent="0.2">
      <c r="B90" s="1727"/>
      <c r="C90" s="1728"/>
      <c r="D90" s="1728"/>
      <c r="E90" s="1728"/>
      <c r="F90" s="1729"/>
    </row>
    <row r="91" spans="2:6" x14ac:dyDescent="0.2">
      <c r="B91" s="25" t="s">
        <v>1274</v>
      </c>
      <c r="C91" s="26" t="s">
        <v>914</v>
      </c>
      <c r="D91" s="27">
        <v>1</v>
      </c>
      <c r="E91" s="28">
        <f>+E82</f>
        <v>46800</v>
      </c>
      <c r="F91" s="29">
        <f>+D91*E91</f>
        <v>46800</v>
      </c>
    </row>
    <row r="92" spans="2:6" x14ac:dyDescent="0.2">
      <c r="B92" s="3" t="s">
        <v>1275</v>
      </c>
      <c r="C92" s="4" t="s">
        <v>914</v>
      </c>
      <c r="D92" s="30">
        <v>1</v>
      </c>
      <c r="E92" s="16">
        <f>+E83</f>
        <v>27941.5</v>
      </c>
      <c r="F92" s="29">
        <f>+D92*E92</f>
        <v>27941.5</v>
      </c>
    </row>
    <row r="93" spans="2:6" x14ac:dyDescent="0.2">
      <c r="B93" s="3" t="s">
        <v>1260</v>
      </c>
      <c r="C93" s="4" t="s">
        <v>914</v>
      </c>
      <c r="D93" s="30">
        <v>0.05</v>
      </c>
      <c r="E93" s="16">
        <f>+E84</f>
        <v>50000</v>
      </c>
      <c r="F93" s="29">
        <f>+D93*E93</f>
        <v>2500</v>
      </c>
    </row>
    <row r="94" spans="2:6" x14ac:dyDescent="0.2">
      <c r="B94" s="31" t="s">
        <v>1262</v>
      </c>
      <c r="C94" s="32" t="s">
        <v>914</v>
      </c>
      <c r="D94" s="11">
        <f>+D85</f>
        <v>0.75</v>
      </c>
      <c r="E94" s="12">
        <f>SUM(F91:F93)</f>
        <v>77241.5</v>
      </c>
      <c r="F94" s="33">
        <f>+D94*E94</f>
        <v>57931.125</v>
      </c>
    </row>
    <row r="95" spans="2:6" x14ac:dyDescent="0.2">
      <c r="B95" s="34" t="s">
        <v>1261</v>
      </c>
      <c r="C95" s="35"/>
      <c r="D95" s="35"/>
      <c r="E95" s="36"/>
      <c r="F95" s="37">
        <f>SUM(F91:F94)</f>
        <v>135172.625</v>
      </c>
    </row>
    <row r="96" spans="2:6" x14ac:dyDescent="0.2">
      <c r="B96" s="34" t="s">
        <v>503</v>
      </c>
      <c r="C96" s="35"/>
      <c r="D96" s="35"/>
      <c r="E96" s="36"/>
      <c r="F96" s="37">
        <f>+F95/8</f>
        <v>16896.578125</v>
      </c>
    </row>
    <row r="98" spans="2:6" x14ac:dyDescent="0.2">
      <c r="B98" s="1724" t="s">
        <v>1277</v>
      </c>
      <c r="C98" s="1725"/>
      <c r="D98" s="1725"/>
      <c r="E98" s="1725"/>
      <c r="F98" s="1726"/>
    </row>
    <row r="99" spans="2:6" x14ac:dyDescent="0.2">
      <c r="B99" s="1727"/>
      <c r="C99" s="1728"/>
      <c r="D99" s="1728"/>
      <c r="E99" s="1728"/>
      <c r="F99" s="1729"/>
    </row>
    <row r="100" spans="2:6" x14ac:dyDescent="0.2">
      <c r="B100" s="25" t="s">
        <v>1274</v>
      </c>
      <c r="C100" s="26" t="s">
        <v>914</v>
      </c>
      <c r="D100" s="27">
        <v>1</v>
      </c>
      <c r="E100" s="28">
        <f>+E91</f>
        <v>46800</v>
      </c>
      <c r="F100" s="29">
        <f>+D100*E100</f>
        <v>46800</v>
      </c>
    </row>
    <row r="101" spans="2:6" x14ac:dyDescent="0.2">
      <c r="B101" s="3" t="s">
        <v>1275</v>
      </c>
      <c r="C101" s="4" t="s">
        <v>914</v>
      </c>
      <c r="D101" s="30">
        <v>4</v>
      </c>
      <c r="E101" s="16">
        <f>+E92</f>
        <v>27941.5</v>
      </c>
      <c r="F101" s="29">
        <f>+D101*E101</f>
        <v>111766</v>
      </c>
    </row>
    <row r="102" spans="2:6" x14ac:dyDescent="0.2">
      <c r="B102" s="3" t="s">
        <v>1260</v>
      </c>
      <c r="C102" s="4" t="s">
        <v>914</v>
      </c>
      <c r="D102" s="30">
        <v>0.1</v>
      </c>
      <c r="E102" s="16">
        <f>+E93</f>
        <v>50000</v>
      </c>
      <c r="F102" s="29">
        <f>+D102*E102</f>
        <v>5000</v>
      </c>
    </row>
    <row r="103" spans="2:6" x14ac:dyDescent="0.2">
      <c r="B103" s="31" t="s">
        <v>1262</v>
      </c>
      <c r="C103" s="32" t="s">
        <v>914</v>
      </c>
      <c r="D103" s="11">
        <f>+D94</f>
        <v>0.75</v>
      </c>
      <c r="E103" s="12">
        <f>SUM(F100:F102)</f>
        <v>163566</v>
      </c>
      <c r="F103" s="33">
        <f>+D103*E103</f>
        <v>122674.5</v>
      </c>
    </row>
    <row r="104" spans="2:6" x14ac:dyDescent="0.2">
      <c r="B104" s="34" t="s">
        <v>1261</v>
      </c>
      <c r="C104" s="35"/>
      <c r="D104" s="35"/>
      <c r="E104" s="36"/>
      <c r="F104" s="37">
        <f>SUM(F100:F103)</f>
        <v>286240.5</v>
      </c>
    </row>
    <row r="105" spans="2:6" x14ac:dyDescent="0.2">
      <c r="B105" s="34" t="s">
        <v>503</v>
      </c>
      <c r="C105" s="35"/>
      <c r="D105" s="35"/>
      <c r="E105" s="36"/>
      <c r="F105" s="37">
        <f>+F104/8</f>
        <v>35780.0625</v>
      </c>
    </row>
    <row r="107" spans="2:6" x14ac:dyDescent="0.2">
      <c r="B107" s="1724" t="s">
        <v>1278</v>
      </c>
      <c r="C107" s="1725"/>
      <c r="D107" s="1725"/>
      <c r="E107" s="1725"/>
      <c r="F107" s="1726"/>
    </row>
    <row r="108" spans="2:6" x14ac:dyDescent="0.2">
      <c r="B108" s="1727"/>
      <c r="C108" s="1728"/>
      <c r="D108" s="1728"/>
      <c r="E108" s="1728"/>
      <c r="F108" s="1729"/>
    </row>
    <row r="109" spans="2:6" x14ac:dyDescent="0.2">
      <c r="B109" s="25" t="s">
        <v>1274</v>
      </c>
      <c r="C109" s="26" t="s">
        <v>914</v>
      </c>
      <c r="D109" s="27">
        <v>2</v>
      </c>
      <c r="E109" s="28">
        <f>+E100</f>
        <v>46800</v>
      </c>
      <c r="F109" s="29">
        <f>+D109*E109</f>
        <v>93600</v>
      </c>
    </row>
    <row r="110" spans="2:6" x14ac:dyDescent="0.2">
      <c r="B110" s="3" t="s">
        <v>1275</v>
      </c>
      <c r="C110" s="4" t="s">
        <v>914</v>
      </c>
      <c r="D110" s="30">
        <v>6</v>
      </c>
      <c r="E110" s="16">
        <f>+E101</f>
        <v>27941.5</v>
      </c>
      <c r="F110" s="29">
        <f>+D110*E110</f>
        <v>167649</v>
      </c>
    </row>
    <row r="111" spans="2:6" x14ac:dyDescent="0.2">
      <c r="B111" s="3" t="s">
        <v>1260</v>
      </c>
      <c r="C111" s="4" t="s">
        <v>914</v>
      </c>
      <c r="D111" s="30">
        <v>0.1</v>
      </c>
      <c r="E111" s="16">
        <f>+E102</f>
        <v>50000</v>
      </c>
      <c r="F111" s="29">
        <f>+D111*E111</f>
        <v>5000</v>
      </c>
    </row>
    <row r="112" spans="2:6" x14ac:dyDescent="0.2">
      <c r="B112" s="31" t="s">
        <v>1262</v>
      </c>
      <c r="C112" s="32" t="s">
        <v>914</v>
      </c>
      <c r="D112" s="11">
        <f>+D103</f>
        <v>0.75</v>
      </c>
      <c r="E112" s="12">
        <f>SUM(F109:F111)</f>
        <v>266249</v>
      </c>
      <c r="F112" s="33">
        <f>+D112*E112</f>
        <v>199686.75</v>
      </c>
    </row>
    <row r="113" spans="2:6" x14ac:dyDescent="0.2">
      <c r="B113" s="34" t="s">
        <v>1261</v>
      </c>
      <c r="C113" s="35"/>
      <c r="D113" s="35"/>
      <c r="E113" s="36"/>
      <c r="F113" s="37">
        <f>SUM(F109:F112)</f>
        <v>465935.75</v>
      </c>
    </row>
    <row r="114" spans="2:6" x14ac:dyDescent="0.2">
      <c r="B114" s="34" t="s">
        <v>503</v>
      </c>
      <c r="C114" s="35"/>
      <c r="D114" s="35"/>
      <c r="E114" s="36"/>
      <c r="F114" s="37">
        <f>+F113/8</f>
        <v>58241.96875</v>
      </c>
    </row>
    <row r="116" spans="2:6" x14ac:dyDescent="0.2">
      <c r="B116" s="1724" t="s">
        <v>1256</v>
      </c>
      <c r="C116" s="1725"/>
      <c r="D116" s="1725"/>
      <c r="E116" s="1725"/>
      <c r="F116" s="1726"/>
    </row>
    <row r="117" spans="2:6" x14ac:dyDescent="0.2">
      <c r="B117" s="1727"/>
      <c r="C117" s="1728"/>
      <c r="D117" s="1728"/>
      <c r="E117" s="1728"/>
      <c r="F117" s="1729"/>
    </row>
    <row r="118" spans="2:6" x14ac:dyDescent="0.2">
      <c r="B118" s="25" t="s">
        <v>1274</v>
      </c>
      <c r="C118" s="26" t="s">
        <v>914</v>
      </c>
      <c r="D118" s="27">
        <v>5</v>
      </c>
      <c r="E118" s="28">
        <f>+E109</f>
        <v>46800</v>
      </c>
      <c r="F118" s="29">
        <f>+D118*E118</f>
        <v>234000</v>
      </c>
    </row>
    <row r="119" spans="2:6" x14ac:dyDescent="0.2">
      <c r="B119" s="3" t="s">
        <v>1275</v>
      </c>
      <c r="C119" s="4" t="s">
        <v>914</v>
      </c>
      <c r="D119" s="30">
        <v>14</v>
      </c>
      <c r="E119" s="16">
        <f>+E110</f>
        <v>27941.5</v>
      </c>
      <c r="F119" s="29">
        <f>+D119*E119</f>
        <v>391181</v>
      </c>
    </row>
    <row r="120" spans="2:6" x14ac:dyDescent="0.2">
      <c r="B120" s="3" t="s">
        <v>1260</v>
      </c>
      <c r="C120" s="4" t="s">
        <v>914</v>
      </c>
      <c r="D120" s="30">
        <v>0.1</v>
      </c>
      <c r="E120" s="16">
        <f>+E111</f>
        <v>50000</v>
      </c>
      <c r="F120" s="29">
        <f>+D120*E120</f>
        <v>5000</v>
      </c>
    </row>
    <row r="121" spans="2:6" x14ac:dyDescent="0.2">
      <c r="B121" s="31" t="s">
        <v>1262</v>
      </c>
      <c r="C121" s="32" t="s">
        <v>914</v>
      </c>
      <c r="D121" s="11">
        <f>+D112</f>
        <v>0.75</v>
      </c>
      <c r="E121" s="12">
        <f>SUM(F118:F120)</f>
        <v>630181</v>
      </c>
      <c r="F121" s="33">
        <f>+D121*E121</f>
        <v>472635.75</v>
      </c>
    </row>
    <row r="122" spans="2:6" x14ac:dyDescent="0.2">
      <c r="B122" s="34" t="s">
        <v>1261</v>
      </c>
      <c r="C122" s="35"/>
      <c r="D122" s="35"/>
      <c r="E122" s="36"/>
      <c r="F122" s="37">
        <f>SUM(F118:F121)</f>
        <v>1102816.75</v>
      </c>
    </row>
    <row r="123" spans="2:6" x14ac:dyDescent="0.2">
      <c r="B123" s="34" t="s">
        <v>503</v>
      </c>
      <c r="C123" s="35"/>
      <c r="D123" s="35"/>
      <c r="E123" s="36"/>
      <c r="F123" s="37">
        <f>+F122/8</f>
        <v>137852.09375</v>
      </c>
    </row>
    <row r="125" spans="2:6" x14ac:dyDescent="0.2">
      <c r="B125" s="1724" t="s">
        <v>1257</v>
      </c>
      <c r="C125" s="1725"/>
      <c r="D125" s="1725"/>
      <c r="E125" s="1725"/>
      <c r="F125" s="1726"/>
    </row>
    <row r="126" spans="2:6" x14ac:dyDescent="0.2">
      <c r="B126" s="1727"/>
      <c r="C126" s="1728"/>
      <c r="D126" s="1728"/>
      <c r="E126" s="1728"/>
      <c r="F126" s="1729"/>
    </row>
    <row r="127" spans="2:6" x14ac:dyDescent="0.2">
      <c r="B127" s="25" t="s">
        <v>1274</v>
      </c>
      <c r="C127" s="26" t="s">
        <v>914</v>
      </c>
      <c r="D127" s="27">
        <v>2</v>
      </c>
      <c r="E127" s="28">
        <f>+E118</f>
        <v>46800</v>
      </c>
      <c r="F127" s="29">
        <f>+D127*E127</f>
        <v>93600</v>
      </c>
    </row>
    <row r="128" spans="2:6" x14ac:dyDescent="0.2">
      <c r="B128" s="3" t="s">
        <v>1275</v>
      </c>
      <c r="C128" s="4" t="s">
        <v>914</v>
      </c>
      <c r="D128" s="30">
        <v>5</v>
      </c>
      <c r="E128" s="16">
        <f>+E119</f>
        <v>27941.5</v>
      </c>
      <c r="F128" s="29">
        <f>+D128*E128</f>
        <v>139707.5</v>
      </c>
    </row>
    <row r="129" spans="2:6" x14ac:dyDescent="0.2">
      <c r="B129" s="3" t="s">
        <v>1260</v>
      </c>
      <c r="C129" s="4" t="s">
        <v>914</v>
      </c>
      <c r="D129" s="30">
        <v>0.1</v>
      </c>
      <c r="E129" s="16">
        <f>+E120</f>
        <v>50000</v>
      </c>
      <c r="F129" s="29">
        <f>+D129*E129</f>
        <v>5000</v>
      </c>
    </row>
    <row r="130" spans="2:6" x14ac:dyDescent="0.2">
      <c r="B130" s="31" t="s">
        <v>1262</v>
      </c>
      <c r="C130" s="32" t="s">
        <v>914</v>
      </c>
      <c r="D130" s="11">
        <f>+D121</f>
        <v>0.75</v>
      </c>
      <c r="E130" s="12">
        <f>SUM(F127:F129)</f>
        <v>238307.5</v>
      </c>
      <c r="F130" s="29">
        <f>+D130*E130</f>
        <v>178730.625</v>
      </c>
    </row>
    <row r="131" spans="2:6" x14ac:dyDescent="0.2">
      <c r="B131" s="34" t="s">
        <v>1261</v>
      </c>
      <c r="C131" s="35"/>
      <c r="D131" s="35"/>
      <c r="E131" s="36"/>
      <c r="F131" s="13">
        <f>SUM(F127:F130)</f>
        <v>417038.125</v>
      </c>
    </row>
    <row r="132" spans="2:6" x14ac:dyDescent="0.2">
      <c r="B132" s="34" t="s">
        <v>503</v>
      </c>
      <c r="C132" s="35"/>
      <c r="D132" s="35"/>
      <c r="E132" s="36"/>
      <c r="F132" s="37">
        <f>+F131/8</f>
        <v>52129.765625</v>
      </c>
    </row>
    <row r="134" spans="2:6" x14ac:dyDescent="0.2">
      <c r="B134" s="1724" t="s">
        <v>1258</v>
      </c>
      <c r="C134" s="1725"/>
      <c r="D134" s="1725"/>
      <c r="E134" s="1725"/>
      <c r="F134" s="1726"/>
    </row>
    <row r="135" spans="2:6" x14ac:dyDescent="0.2">
      <c r="B135" s="1727"/>
      <c r="C135" s="1728"/>
      <c r="D135" s="1728"/>
      <c r="E135" s="1728"/>
      <c r="F135" s="1729"/>
    </row>
    <row r="136" spans="2:6" x14ac:dyDescent="0.2">
      <c r="B136" s="25" t="s">
        <v>1274</v>
      </c>
      <c r="C136" s="26" t="s">
        <v>914</v>
      </c>
      <c r="D136" s="27">
        <v>2</v>
      </c>
      <c r="E136" s="28">
        <f>+E127</f>
        <v>46800</v>
      </c>
      <c r="F136" s="29">
        <f>+D136*E136</f>
        <v>93600</v>
      </c>
    </row>
    <row r="137" spans="2:6" x14ac:dyDescent="0.2">
      <c r="B137" s="3" t="s">
        <v>1275</v>
      </c>
      <c r="C137" s="4" t="s">
        <v>914</v>
      </c>
      <c r="D137" s="30">
        <v>10</v>
      </c>
      <c r="E137" s="16">
        <f>+E128</f>
        <v>27941.5</v>
      </c>
      <c r="F137" s="29">
        <f>+D137*E137</f>
        <v>279415</v>
      </c>
    </row>
    <row r="138" spans="2:6" x14ac:dyDescent="0.2">
      <c r="B138" s="3" t="s">
        <v>1260</v>
      </c>
      <c r="C138" s="4" t="s">
        <v>914</v>
      </c>
      <c r="D138" s="30">
        <v>0.1</v>
      </c>
      <c r="E138" s="16">
        <f>+E129</f>
        <v>50000</v>
      </c>
      <c r="F138" s="29">
        <f>+D138*E138</f>
        <v>5000</v>
      </c>
    </row>
    <row r="139" spans="2:6" x14ac:dyDescent="0.2">
      <c r="B139" s="31" t="s">
        <v>1262</v>
      </c>
      <c r="C139" s="32" t="s">
        <v>914</v>
      </c>
      <c r="D139" s="11">
        <f>+D130</f>
        <v>0.75</v>
      </c>
      <c r="E139" s="12">
        <f>SUM(F136:F138)</f>
        <v>378015</v>
      </c>
      <c r="F139" s="33">
        <f>+D139*E139</f>
        <v>283511.25</v>
      </c>
    </row>
    <row r="140" spans="2:6" x14ac:dyDescent="0.2">
      <c r="B140" s="34" t="s">
        <v>1261</v>
      </c>
      <c r="C140" s="35"/>
      <c r="D140" s="35"/>
      <c r="E140" s="36"/>
      <c r="F140" s="37">
        <f>SUM(F136:F139)</f>
        <v>661526.25</v>
      </c>
    </row>
    <row r="141" spans="2:6" x14ac:dyDescent="0.2">
      <c r="B141" s="34" t="s">
        <v>503</v>
      </c>
      <c r="C141" s="35"/>
      <c r="D141" s="35"/>
      <c r="E141" s="36"/>
      <c r="F141" s="37">
        <f>+F140/8</f>
        <v>82690.78125</v>
      </c>
    </row>
    <row r="143" spans="2:6" x14ac:dyDescent="0.2">
      <c r="B143" s="1724" t="s">
        <v>1276</v>
      </c>
      <c r="C143" s="1725"/>
      <c r="D143" s="1725"/>
      <c r="E143" s="1725"/>
      <c r="F143" s="1726"/>
    </row>
    <row r="144" spans="2:6" x14ac:dyDescent="0.2">
      <c r="B144" s="1727"/>
      <c r="C144" s="1728"/>
      <c r="D144" s="1728"/>
      <c r="E144" s="1728"/>
      <c r="F144" s="1729"/>
    </row>
    <row r="145" spans="2:7" x14ac:dyDescent="0.2">
      <c r="B145" s="25" t="s">
        <v>1274</v>
      </c>
      <c r="C145" s="26" t="s">
        <v>914</v>
      </c>
      <c r="D145" s="27">
        <v>2</v>
      </c>
      <c r="E145" s="28">
        <f>+E136</f>
        <v>46800</v>
      </c>
      <c r="F145" s="29">
        <f>+D145*E145</f>
        <v>93600</v>
      </c>
    </row>
    <row r="146" spans="2:7" x14ac:dyDescent="0.2">
      <c r="B146" s="3" t="s">
        <v>1275</v>
      </c>
      <c r="C146" s="4" t="s">
        <v>914</v>
      </c>
      <c r="D146" s="30">
        <v>4</v>
      </c>
      <c r="E146" s="16">
        <f>+E137</f>
        <v>27941.5</v>
      </c>
      <c r="F146" s="29">
        <f>+D146*E146</f>
        <v>111766</v>
      </c>
    </row>
    <row r="147" spans="2:7" x14ac:dyDescent="0.2">
      <c r="B147" s="3" t="s">
        <v>1260</v>
      </c>
      <c r="C147" s="4" t="s">
        <v>914</v>
      </c>
      <c r="D147" s="30">
        <v>0.1</v>
      </c>
      <c r="E147" s="16">
        <f>+E138</f>
        <v>50000</v>
      </c>
      <c r="F147" s="29">
        <f>+D147*E147</f>
        <v>5000</v>
      </c>
    </row>
    <row r="148" spans="2:7" x14ac:dyDescent="0.2">
      <c r="B148" s="31" t="s">
        <v>1262</v>
      </c>
      <c r="C148" s="32" t="s">
        <v>914</v>
      </c>
      <c r="D148" s="11">
        <f>+D139</f>
        <v>0.75</v>
      </c>
      <c r="E148" s="12">
        <f>SUM(F145:F147)</f>
        <v>210366</v>
      </c>
      <c r="F148" s="33">
        <f>+D148*E148</f>
        <v>157774.5</v>
      </c>
    </row>
    <row r="149" spans="2:7" x14ac:dyDescent="0.2">
      <c r="B149" s="34" t="s">
        <v>1261</v>
      </c>
      <c r="C149" s="35"/>
      <c r="D149" s="35"/>
      <c r="E149" s="36"/>
      <c r="F149" s="37">
        <f>SUM(F145:F148)</f>
        <v>368140.5</v>
      </c>
      <c r="G149" s="44"/>
    </row>
    <row r="150" spans="2:7" ht="12" customHeight="1" x14ac:dyDescent="0.2">
      <c r="B150" s="34" t="s">
        <v>503</v>
      </c>
      <c r="C150" s="35"/>
      <c r="D150" s="35"/>
      <c r="E150" s="36"/>
      <c r="F150" s="37">
        <f>+F149/8</f>
        <v>46017.5625</v>
      </c>
      <c r="G150" s="44"/>
    </row>
    <row r="151" spans="2:7" hidden="1" x14ac:dyDescent="0.2"/>
    <row r="153" spans="2:7" x14ac:dyDescent="0.2">
      <c r="B153" s="10" t="s">
        <v>919</v>
      </c>
      <c r="C153" s="45" t="s">
        <v>1271</v>
      </c>
      <c r="D153" s="46" t="s">
        <v>1272</v>
      </c>
      <c r="E153" s="45" t="s">
        <v>926</v>
      </c>
      <c r="F153" s="47"/>
    </row>
    <row r="154" spans="2:7" hidden="1" x14ac:dyDescent="0.2">
      <c r="B154" s="15"/>
      <c r="C154" s="8"/>
      <c r="D154" s="4"/>
      <c r="E154" s="8"/>
      <c r="F154" s="48"/>
    </row>
    <row r="155" spans="2:7" ht="0.75" customHeight="1" x14ac:dyDescent="0.2">
      <c r="B155" s="15"/>
      <c r="C155" s="8"/>
      <c r="D155" s="4"/>
      <c r="E155" s="8"/>
      <c r="F155" s="48"/>
    </row>
    <row r="156" spans="2:7" hidden="1" x14ac:dyDescent="0.2">
      <c r="B156" s="15"/>
      <c r="C156" s="8"/>
      <c r="D156" s="4"/>
      <c r="E156" s="8"/>
      <c r="F156" s="48"/>
    </row>
    <row r="157" spans="2:7" x14ac:dyDescent="0.2">
      <c r="B157" s="15"/>
      <c r="C157" s="8"/>
      <c r="D157" s="4"/>
      <c r="E157" s="8"/>
      <c r="F157" s="48"/>
    </row>
    <row r="158" spans="2:7" x14ac:dyDescent="0.2">
      <c r="B158" s="49" t="s">
        <v>1266</v>
      </c>
      <c r="C158" s="3">
        <v>21.87</v>
      </c>
      <c r="D158" s="2">
        <v>86.72</v>
      </c>
      <c r="E158" s="3">
        <v>129.94</v>
      </c>
      <c r="F158" s="48">
        <v>79.510000000000005</v>
      </c>
    </row>
    <row r="159" spans="2:7" x14ac:dyDescent="0.2">
      <c r="B159" s="49" t="s">
        <v>1267</v>
      </c>
      <c r="C159" s="3">
        <v>144.47</v>
      </c>
      <c r="D159" s="2">
        <v>489.08</v>
      </c>
      <c r="E159" s="3">
        <v>538.27</v>
      </c>
      <c r="F159" s="48"/>
    </row>
    <row r="160" spans="2:7" x14ac:dyDescent="0.2">
      <c r="B160" s="49" t="s">
        <v>1268</v>
      </c>
      <c r="C160" s="3">
        <v>188.1</v>
      </c>
      <c r="D160" s="2">
        <v>416.58</v>
      </c>
      <c r="E160" s="3">
        <v>362.43</v>
      </c>
      <c r="F160" s="48">
        <v>322.37</v>
      </c>
    </row>
    <row r="161" spans="2:11" x14ac:dyDescent="0.2">
      <c r="B161" s="49" t="s">
        <v>1269</v>
      </c>
      <c r="C161" s="3">
        <v>29.76</v>
      </c>
      <c r="D161" s="2">
        <v>77.64</v>
      </c>
      <c r="E161" s="3">
        <v>96.35</v>
      </c>
      <c r="F161" s="48"/>
    </row>
    <row r="162" spans="2:11" x14ac:dyDescent="0.2">
      <c r="B162" s="49" t="s">
        <v>1270</v>
      </c>
      <c r="C162" s="3">
        <v>95.66</v>
      </c>
      <c r="D162" s="2">
        <v>487.16</v>
      </c>
      <c r="E162" s="3">
        <v>376.44</v>
      </c>
      <c r="F162" s="48"/>
    </row>
    <row r="163" spans="2:11" x14ac:dyDescent="0.2">
      <c r="B163" s="50" t="s">
        <v>920</v>
      </c>
      <c r="C163" s="31">
        <v>479.86</v>
      </c>
      <c r="D163" s="51">
        <v>1557.18</v>
      </c>
      <c r="E163" s="31">
        <v>1503.43</v>
      </c>
      <c r="F163" s="47">
        <f>SUM(C163:E163)</f>
        <v>3540.4700000000003</v>
      </c>
    </row>
    <row r="164" spans="2:11" x14ac:dyDescent="0.2">
      <c r="B164" s="52" t="s">
        <v>918</v>
      </c>
      <c r="C164" s="33">
        <f>+$F$22/C163</f>
        <v>2217.5488684199559</v>
      </c>
      <c r="D164" s="12">
        <f>+$F$22/D163</f>
        <v>683.35902079399943</v>
      </c>
      <c r="E164" s="33">
        <f>+$F$22/E163</f>
        <v>707.79018644033977</v>
      </c>
      <c r="F164" s="53">
        <f>+ROUND(((C163*C164)+(D163*D164)+(E163*E164))/F163,0)</f>
        <v>902</v>
      </c>
    </row>
    <row r="165" spans="2:11" x14ac:dyDescent="0.2">
      <c r="G165" s="54" t="s">
        <v>927</v>
      </c>
      <c r="H165" s="55"/>
      <c r="I165" s="55"/>
      <c r="J165" s="55"/>
      <c r="K165" s="47"/>
    </row>
  </sheetData>
  <sheetProtection algorithmName="SHA-512" hashValue="QO8uoJwowW79G+EMR1oMxQ3jplAcWWddk6Z3FGKZ3v7XWlVILAsRobUg6Z1QSo/Qdoaq05PIwN0na+VEaM8vXw==" saltValue="XHzGmvA3Tmc/DXJ8t9FyRg==" spinCount="100000" sheet="1" formatCells="0" formatColumns="0" formatRows="0" insertColumns="0" insertRows="0" insertHyperlinks="0" deleteColumns="0" deleteRows="0" sort="0" autoFilter="0" pivotTables="0"/>
  <mergeCells count="19">
    <mergeCell ref="B1:F1"/>
    <mergeCell ref="B3:F3"/>
    <mergeCell ref="B53:F54"/>
    <mergeCell ref="B62:F63"/>
    <mergeCell ref="B24:F25"/>
    <mergeCell ref="B26:F27"/>
    <mergeCell ref="B35:F36"/>
    <mergeCell ref="B44:F45"/>
    <mergeCell ref="B4:F4"/>
    <mergeCell ref="B7:F8"/>
    <mergeCell ref="B71:F72"/>
    <mergeCell ref="B80:F81"/>
    <mergeCell ref="B89:F90"/>
    <mergeCell ref="B98:F99"/>
    <mergeCell ref="B143:F144"/>
    <mergeCell ref="B107:F108"/>
    <mergeCell ref="B116:F117"/>
    <mergeCell ref="B125:F126"/>
    <mergeCell ref="B134:F135"/>
  </mergeCells>
  <phoneticPr fontId="32" type="noConversion"/>
  <pageMargins left="0.75" right="0.75" top="1" bottom="1" header="0" footer="0"/>
  <pageSetup scale="94" fitToWidth="0" fitToHeight="0" orientation="portrait" r:id="rId1"/>
  <headerFooter alignWithMargins="0"/>
  <rowBreaks count="2" manualBreakCount="2">
    <brk id="52" min="1" max="5" man="1"/>
    <brk id="106" min="1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183"/>
  <sheetViews>
    <sheetView zoomScale="120" zoomScaleNormal="120" zoomScaleSheetLayoutView="90" zoomScalePageLayoutView="30" workbookViewId="0">
      <selection activeCell="N20" sqref="N20"/>
    </sheetView>
  </sheetViews>
  <sheetFormatPr baseColWidth="10" defaultColWidth="3.42578125" defaultRowHeight="12.75" x14ac:dyDescent="0.2"/>
  <cols>
    <col min="1" max="1" width="3.42578125" style="123" customWidth="1"/>
    <col min="2" max="2" width="9.140625" customWidth="1"/>
    <col min="3" max="3" width="67.42578125" customWidth="1"/>
    <col min="4" max="4" width="7.28515625" customWidth="1"/>
    <col min="5" max="5" width="17.42578125" customWidth="1"/>
    <col min="6" max="6" width="3" style="131" bestFit="1" customWidth="1"/>
    <col min="7" max="7" width="5.140625" bestFit="1" customWidth="1"/>
    <col min="8" max="8" width="7.7109375" bestFit="1" customWidth="1"/>
  </cols>
  <sheetData>
    <row r="1" spans="2:5" ht="21" customHeight="1" x14ac:dyDescent="0.25">
      <c r="B1" s="1748" t="s">
        <v>2082</v>
      </c>
      <c r="C1" s="1748"/>
      <c r="D1" s="1748"/>
      <c r="E1" s="1748"/>
    </row>
    <row r="2" spans="2:5" x14ac:dyDescent="0.2">
      <c r="B2" s="31"/>
      <c r="C2" s="31"/>
      <c r="D2" s="31"/>
      <c r="E2" s="31"/>
    </row>
    <row r="3" spans="2:5" ht="15" x14ac:dyDescent="0.25">
      <c r="B3" s="1748" t="s">
        <v>961</v>
      </c>
      <c r="C3" s="1748"/>
      <c r="D3" s="1748"/>
      <c r="E3" s="1748"/>
    </row>
    <row r="4" spans="2:5" ht="15" x14ac:dyDescent="0.25">
      <c r="B4" s="1416"/>
      <c r="C4" s="1416"/>
      <c r="D4" s="1416"/>
      <c r="E4" s="1416"/>
    </row>
    <row r="5" spans="2:5" x14ac:dyDescent="0.2">
      <c r="B5" s="338"/>
      <c r="C5" s="338"/>
      <c r="D5" s="1754">
        <v>2016</v>
      </c>
      <c r="E5" s="1754"/>
    </row>
    <row r="6" spans="2:5" x14ac:dyDescent="0.2">
      <c r="B6" s="1417" t="s">
        <v>962</v>
      </c>
      <c r="C6" s="1417" t="s">
        <v>963</v>
      </c>
      <c r="D6" s="1417" t="s">
        <v>964</v>
      </c>
      <c r="E6" s="1417" t="s">
        <v>965</v>
      </c>
    </row>
    <row r="7" spans="2:5" x14ac:dyDescent="0.2">
      <c r="B7" s="1417">
        <v>1</v>
      </c>
      <c r="C7" s="1417" t="s">
        <v>1581</v>
      </c>
      <c r="D7" s="1417"/>
      <c r="E7" s="1417"/>
    </row>
    <row r="8" spans="2:5" x14ac:dyDescent="0.2">
      <c r="B8" s="1418" t="s">
        <v>1597</v>
      </c>
      <c r="C8" s="1419" t="s">
        <v>1582</v>
      </c>
      <c r="D8" s="1418" t="s">
        <v>1583</v>
      </c>
      <c r="E8" s="333">
        <f>+'Análisis Mano de Obra'!F33</f>
        <v>17443.453125</v>
      </c>
    </row>
    <row r="9" spans="2:5" x14ac:dyDescent="0.2">
      <c r="B9" s="1418" t="s">
        <v>1598</v>
      </c>
      <c r="C9" s="1419" t="s">
        <v>1584</v>
      </c>
      <c r="D9" s="1418" t="s">
        <v>1583</v>
      </c>
      <c r="E9" s="333">
        <f>+'Análisis Mano de Obra'!F42</f>
        <v>23008.78125</v>
      </c>
    </row>
    <row r="10" spans="2:5" x14ac:dyDescent="0.2">
      <c r="B10" s="1418" t="s">
        <v>1599</v>
      </c>
      <c r="C10" s="1419" t="s">
        <v>1585</v>
      </c>
      <c r="D10" s="1418" t="s">
        <v>1583</v>
      </c>
      <c r="E10" s="333">
        <f>+'Análisis Mano de Obra'!F51</f>
        <v>39905.359375</v>
      </c>
    </row>
    <row r="11" spans="2:5" x14ac:dyDescent="0.2">
      <c r="B11" s="1418" t="s">
        <v>1600</v>
      </c>
      <c r="C11" s="1419" t="s">
        <v>1586</v>
      </c>
      <c r="D11" s="1418" t="s">
        <v>1583</v>
      </c>
      <c r="E11" s="333">
        <f>+'Análisis Mano de Obra'!F60</f>
        <v>24776.9375</v>
      </c>
    </row>
    <row r="12" spans="2:5" x14ac:dyDescent="0.2">
      <c r="B12" s="1418" t="s">
        <v>1601</v>
      </c>
      <c r="C12" s="1419" t="s">
        <v>1587</v>
      </c>
      <c r="D12" s="1418" t="s">
        <v>1583</v>
      </c>
      <c r="E12" s="333">
        <f>+'Análisis Mano de Obra'!F69</f>
        <v>18336.609375</v>
      </c>
    </row>
    <row r="13" spans="2:5" x14ac:dyDescent="0.2">
      <c r="B13" s="1418" t="s">
        <v>1602</v>
      </c>
      <c r="C13" s="1419" t="s">
        <v>1588</v>
      </c>
      <c r="D13" s="1418" t="s">
        <v>1583</v>
      </c>
      <c r="E13" s="333">
        <f>+'Análisis Mano de Obra'!F78</f>
        <v>37766.96875</v>
      </c>
    </row>
    <row r="14" spans="2:5" x14ac:dyDescent="0.2">
      <c r="B14" s="1418" t="s">
        <v>1603</v>
      </c>
      <c r="C14" s="1419" t="s">
        <v>1589</v>
      </c>
      <c r="D14" s="1418" t="s">
        <v>1583</v>
      </c>
      <c r="E14" s="333">
        <f>+'Análisis Mano de Obra'!F87</f>
        <v>60228.875</v>
      </c>
    </row>
    <row r="15" spans="2:5" x14ac:dyDescent="0.2">
      <c r="B15" s="1418" t="s">
        <v>1604</v>
      </c>
      <c r="C15" s="1419" t="s">
        <v>1590</v>
      </c>
      <c r="D15" s="1418" t="s">
        <v>1583</v>
      </c>
      <c r="E15" s="333">
        <f>+'Análisis Mano de Obra'!F96</f>
        <v>16896.578125</v>
      </c>
    </row>
    <row r="16" spans="2:5" x14ac:dyDescent="0.2">
      <c r="B16" s="1418" t="s">
        <v>1605</v>
      </c>
      <c r="C16" s="1419" t="s">
        <v>1591</v>
      </c>
      <c r="D16" s="1418" t="s">
        <v>1583</v>
      </c>
      <c r="E16" s="333">
        <f>+'Análisis Mano de Obra'!F105</f>
        <v>35780.0625</v>
      </c>
    </row>
    <row r="17" spans="2:5" x14ac:dyDescent="0.2">
      <c r="B17" s="1418" t="s">
        <v>1606</v>
      </c>
      <c r="C17" s="1419" t="s">
        <v>1592</v>
      </c>
      <c r="D17" s="1418" t="s">
        <v>1583</v>
      </c>
      <c r="E17" s="333">
        <f>+'Análisis Mano de Obra'!F114</f>
        <v>58241.96875</v>
      </c>
    </row>
    <row r="18" spans="2:5" x14ac:dyDescent="0.2">
      <c r="B18" s="1418" t="s">
        <v>1607</v>
      </c>
      <c r="C18" s="1419" t="s">
        <v>1593</v>
      </c>
      <c r="D18" s="1418" t="s">
        <v>1583</v>
      </c>
      <c r="E18" s="333">
        <f>+'Análisis Mano de Obra'!F123</f>
        <v>137852.09375</v>
      </c>
    </row>
    <row r="19" spans="2:5" x14ac:dyDescent="0.2">
      <c r="B19" s="1418" t="s">
        <v>1608</v>
      </c>
      <c r="C19" s="1419" t="s">
        <v>1594</v>
      </c>
      <c r="D19" s="1418" t="s">
        <v>1583</v>
      </c>
      <c r="E19" s="333">
        <f>+'Análisis Mano de Obra'!F132</f>
        <v>52129.765625</v>
      </c>
    </row>
    <row r="20" spans="2:5" x14ac:dyDescent="0.2">
      <c r="B20" s="1418" t="s">
        <v>1609</v>
      </c>
      <c r="C20" s="1419" t="s">
        <v>1595</v>
      </c>
      <c r="D20" s="1418" t="s">
        <v>1583</v>
      </c>
      <c r="E20" s="333">
        <f>+'Análisis Mano de Obra'!F141</f>
        <v>82690.78125</v>
      </c>
    </row>
    <row r="21" spans="2:5" x14ac:dyDescent="0.2">
      <c r="B21" s="1418" t="s">
        <v>1610</v>
      </c>
      <c r="C21" s="1419" t="s">
        <v>1596</v>
      </c>
      <c r="D21" s="1418" t="s">
        <v>1583</v>
      </c>
      <c r="E21" s="333">
        <f>+'Análisis Mano de Obra'!F150</f>
        <v>46017.5625</v>
      </c>
    </row>
    <row r="22" spans="2:5" x14ac:dyDescent="0.2">
      <c r="B22" s="1417">
        <v>2</v>
      </c>
      <c r="C22" s="1417" t="s">
        <v>966</v>
      </c>
      <c r="D22" s="1420"/>
      <c r="E22" s="1420"/>
    </row>
    <row r="23" spans="2:5" x14ac:dyDescent="0.2">
      <c r="B23" s="1195" t="s">
        <v>1611</v>
      </c>
      <c r="C23" s="338" t="s">
        <v>967</v>
      </c>
      <c r="D23" s="1195" t="s">
        <v>904</v>
      </c>
      <c r="E23" s="333">
        <v>60000</v>
      </c>
    </row>
    <row r="24" spans="2:5" x14ac:dyDescent="0.2">
      <c r="B24" s="1195" t="s">
        <v>1612</v>
      </c>
      <c r="C24" s="338" t="s">
        <v>968</v>
      </c>
      <c r="D24" s="1195" t="s">
        <v>905</v>
      </c>
      <c r="E24" s="333">
        <v>60000</v>
      </c>
    </row>
    <row r="25" spans="2:5" x14ac:dyDescent="0.2">
      <c r="B25" s="1195" t="s">
        <v>1613</v>
      </c>
      <c r="C25" s="338" t="s">
        <v>969</v>
      </c>
      <c r="D25" s="1195" t="s">
        <v>904</v>
      </c>
      <c r="E25" s="333">
        <v>70000</v>
      </c>
    </row>
    <row r="26" spans="2:5" x14ac:dyDescent="0.2">
      <c r="B26" s="1195" t="s">
        <v>1614</v>
      </c>
      <c r="C26" s="338" t="s">
        <v>970</v>
      </c>
      <c r="D26" s="1195" t="s">
        <v>905</v>
      </c>
      <c r="E26" s="333">
        <v>70000</v>
      </c>
    </row>
    <row r="27" spans="2:5" x14ac:dyDescent="0.2">
      <c r="B27" s="1195" t="s">
        <v>1615</v>
      </c>
      <c r="C27" s="338" t="s">
        <v>971</v>
      </c>
      <c r="D27" s="1195" t="s">
        <v>905</v>
      </c>
      <c r="E27" s="333">
        <v>180000</v>
      </c>
    </row>
    <row r="28" spans="2:5" x14ac:dyDescent="0.2">
      <c r="B28" s="1195" t="s">
        <v>1616</v>
      </c>
      <c r="C28" s="338" t="s">
        <v>972</v>
      </c>
      <c r="D28" s="1195" t="s">
        <v>905</v>
      </c>
      <c r="E28" s="333">
        <v>35000</v>
      </c>
    </row>
    <row r="29" spans="2:5" x14ac:dyDescent="0.2">
      <c r="B29" s="1195" t="s">
        <v>1617</v>
      </c>
      <c r="C29" s="338" t="s">
        <v>973</v>
      </c>
      <c r="D29" s="1195" t="s">
        <v>1265</v>
      </c>
      <c r="E29" s="333">
        <v>2784</v>
      </c>
    </row>
    <row r="30" spans="2:5" x14ac:dyDescent="0.2">
      <c r="B30" s="1195" t="s">
        <v>1618</v>
      </c>
      <c r="C30" s="338" t="s">
        <v>974</v>
      </c>
      <c r="D30" s="1195" t="s">
        <v>1265</v>
      </c>
      <c r="E30" s="333">
        <v>80</v>
      </c>
    </row>
    <row r="31" spans="2:5" x14ac:dyDescent="0.2">
      <c r="B31" s="1195" t="s">
        <v>1529</v>
      </c>
      <c r="C31" s="338" t="s">
        <v>1530</v>
      </c>
      <c r="D31" s="1195" t="s">
        <v>1531</v>
      </c>
      <c r="E31" s="333">
        <v>1600</v>
      </c>
    </row>
    <row r="32" spans="2:5" x14ac:dyDescent="0.2">
      <c r="B32" s="1417">
        <v>3</v>
      </c>
      <c r="C32" s="1417" t="s">
        <v>975</v>
      </c>
      <c r="D32" s="1420"/>
      <c r="E32" s="1420"/>
    </row>
    <row r="33" spans="2:6" x14ac:dyDescent="0.2">
      <c r="B33" s="1195" t="s">
        <v>1619</v>
      </c>
      <c r="C33" s="334" t="s">
        <v>1528</v>
      </c>
      <c r="D33" s="1195" t="s">
        <v>905</v>
      </c>
      <c r="E33" s="333">
        <f>+'Análisis Mano de Obra'!F164</f>
        <v>902</v>
      </c>
    </row>
    <row r="34" spans="2:6" x14ac:dyDescent="0.2">
      <c r="B34" s="1195" t="s">
        <v>1620</v>
      </c>
      <c r="C34" s="334" t="s">
        <v>906</v>
      </c>
      <c r="D34" s="1195" t="s">
        <v>905</v>
      </c>
      <c r="E34" s="333">
        <v>10371</v>
      </c>
    </row>
    <row r="35" spans="2:6" x14ac:dyDescent="0.2">
      <c r="B35" s="1195" t="s">
        <v>1621</v>
      </c>
      <c r="C35" s="338" t="s">
        <v>907</v>
      </c>
      <c r="D35" s="1195" t="s">
        <v>905</v>
      </c>
      <c r="E35" s="333">
        <v>16200</v>
      </c>
    </row>
    <row r="36" spans="2:6" x14ac:dyDescent="0.2">
      <c r="B36" s="1195" t="s">
        <v>1622</v>
      </c>
      <c r="C36" s="338" t="s">
        <v>507</v>
      </c>
      <c r="D36" s="1195" t="s">
        <v>905</v>
      </c>
      <c r="E36" s="333">
        <v>11200</v>
      </c>
    </row>
    <row r="37" spans="2:6" x14ac:dyDescent="0.2">
      <c r="B37" s="1195" t="s">
        <v>1623</v>
      </c>
      <c r="C37" s="338" t="s">
        <v>976</v>
      </c>
      <c r="D37" s="1195" t="s">
        <v>905</v>
      </c>
      <c r="E37" s="333">
        <v>1800</v>
      </c>
    </row>
    <row r="38" spans="2:6" x14ac:dyDescent="0.2">
      <c r="B38" s="1195" t="s">
        <v>1624</v>
      </c>
      <c r="C38" s="338" t="s">
        <v>977</v>
      </c>
      <c r="D38" s="1195" t="s">
        <v>905</v>
      </c>
      <c r="E38" s="333">
        <v>137600</v>
      </c>
    </row>
    <row r="39" spans="2:6" x14ac:dyDescent="0.2">
      <c r="B39" s="1195" t="s">
        <v>1625</v>
      </c>
      <c r="C39" s="338" t="s">
        <v>978</v>
      </c>
      <c r="D39" s="1195" t="s">
        <v>905</v>
      </c>
      <c r="E39" s="333">
        <v>28610</v>
      </c>
    </row>
    <row r="40" spans="2:6" x14ac:dyDescent="0.2">
      <c r="B40" s="1195" t="s">
        <v>1626</v>
      </c>
      <c r="C40" s="338" t="s">
        <v>979</v>
      </c>
      <c r="D40" s="1195" t="s">
        <v>905</v>
      </c>
      <c r="E40" s="333">
        <v>34660</v>
      </c>
    </row>
    <row r="41" spans="2:6" x14ac:dyDescent="0.2">
      <c r="B41" s="1195" t="s">
        <v>1627</v>
      </c>
      <c r="C41" s="338" t="s">
        <v>980</v>
      </c>
      <c r="D41" s="1195" t="s">
        <v>1265</v>
      </c>
      <c r="E41" s="333">
        <v>1100</v>
      </c>
    </row>
    <row r="42" spans="2:6" s="123" customFormat="1" x14ac:dyDescent="0.2">
      <c r="B42" s="1195" t="s">
        <v>1527</v>
      </c>
      <c r="C42" s="338" t="s">
        <v>981</v>
      </c>
      <c r="D42" s="1195" t="s">
        <v>936</v>
      </c>
      <c r="E42" s="333">
        <v>25500</v>
      </c>
      <c r="F42" s="131"/>
    </row>
    <row r="43" spans="2:6" x14ac:dyDescent="0.2">
      <c r="B43" s="1417">
        <v>4</v>
      </c>
      <c r="C43" s="1417" t="s">
        <v>982</v>
      </c>
      <c r="D43" s="1420"/>
      <c r="E43" s="1420"/>
    </row>
    <row r="44" spans="2:6" x14ac:dyDescent="0.2">
      <c r="B44" s="1195" t="s">
        <v>1628</v>
      </c>
      <c r="C44" s="338" t="s">
        <v>983</v>
      </c>
      <c r="D44" s="1195" t="s">
        <v>905</v>
      </c>
      <c r="E44" s="333">
        <v>10000</v>
      </c>
    </row>
    <row r="45" spans="2:6" x14ac:dyDescent="0.2">
      <c r="B45" s="1195" t="s">
        <v>1629</v>
      </c>
      <c r="C45" s="338" t="s">
        <v>984</v>
      </c>
      <c r="D45" s="1195" t="s">
        <v>905</v>
      </c>
      <c r="E45" s="333">
        <v>20000</v>
      </c>
    </row>
    <row r="46" spans="2:6" x14ac:dyDescent="0.2">
      <c r="B46" s="1195" t="s">
        <v>1630</v>
      </c>
      <c r="C46" s="338" t="s">
        <v>985</v>
      </c>
      <c r="D46" s="1195" t="s">
        <v>905</v>
      </c>
      <c r="E46" s="333">
        <v>15600</v>
      </c>
    </row>
    <row r="47" spans="2:6" x14ac:dyDescent="0.2">
      <c r="B47" s="1195" t="s">
        <v>1632</v>
      </c>
      <c r="C47" s="338" t="s">
        <v>986</v>
      </c>
      <c r="D47" s="1195" t="s">
        <v>905</v>
      </c>
      <c r="E47" s="333">
        <v>19720</v>
      </c>
    </row>
    <row r="48" spans="2:6" x14ac:dyDescent="0.2">
      <c r="B48" s="1195" t="s">
        <v>1631</v>
      </c>
      <c r="C48" s="338" t="s">
        <v>987</v>
      </c>
      <c r="D48" s="1195" t="s">
        <v>905</v>
      </c>
      <c r="E48" s="333">
        <v>4900</v>
      </c>
    </row>
    <row r="49" spans="2:5" x14ac:dyDescent="0.2">
      <c r="B49" s="1195" t="s">
        <v>1633</v>
      </c>
      <c r="C49" s="338" t="s">
        <v>988</v>
      </c>
      <c r="D49" s="1195" t="s">
        <v>905</v>
      </c>
      <c r="E49" s="333">
        <v>5150</v>
      </c>
    </row>
    <row r="50" spans="2:5" x14ac:dyDescent="0.2">
      <c r="B50" s="1195" t="s">
        <v>1634</v>
      </c>
      <c r="C50" s="334" t="s">
        <v>989</v>
      </c>
      <c r="D50" s="1195" t="s">
        <v>905</v>
      </c>
      <c r="E50" s="333">
        <v>9000</v>
      </c>
    </row>
    <row r="51" spans="2:5" x14ac:dyDescent="0.2">
      <c r="B51" s="1195" t="s">
        <v>1635</v>
      </c>
      <c r="C51" s="334" t="s">
        <v>990</v>
      </c>
      <c r="D51" s="1418" t="s">
        <v>905</v>
      </c>
      <c r="E51" s="333">
        <v>16800</v>
      </c>
    </row>
    <row r="52" spans="2:5" x14ac:dyDescent="0.2">
      <c r="B52" s="1195" t="s">
        <v>1636</v>
      </c>
      <c r="C52" s="334" t="s">
        <v>991</v>
      </c>
      <c r="D52" s="1418" t="s">
        <v>905</v>
      </c>
      <c r="E52" s="333">
        <v>383000</v>
      </c>
    </row>
    <row r="53" spans="2:5" x14ac:dyDescent="0.2">
      <c r="B53" s="1195" t="s">
        <v>1637</v>
      </c>
      <c r="C53" s="334" t="s">
        <v>992</v>
      </c>
      <c r="D53" s="1418" t="s">
        <v>905</v>
      </c>
      <c r="E53" s="333">
        <v>63000</v>
      </c>
    </row>
    <row r="54" spans="2:5" x14ac:dyDescent="0.2">
      <c r="B54" s="1195" t="s">
        <v>1638</v>
      </c>
      <c r="C54" s="334" t="s">
        <v>993</v>
      </c>
      <c r="D54" s="1418" t="s">
        <v>905</v>
      </c>
      <c r="E54" s="333">
        <v>300000</v>
      </c>
    </row>
    <row r="55" spans="2:5" x14ac:dyDescent="0.2">
      <c r="B55" s="1417">
        <v>5</v>
      </c>
      <c r="C55" s="1417" t="s">
        <v>994</v>
      </c>
      <c r="D55" s="1420"/>
      <c r="E55" s="1420"/>
    </row>
    <row r="56" spans="2:5" ht="13.5" customHeight="1" x14ac:dyDescent="0.2">
      <c r="B56" s="1195" t="s">
        <v>1639</v>
      </c>
      <c r="C56" s="338" t="s">
        <v>995</v>
      </c>
      <c r="D56" s="1195" t="s">
        <v>938</v>
      </c>
      <c r="E56" s="333">
        <f>+ROUND(1065.26,0)</f>
        <v>1065</v>
      </c>
    </row>
    <row r="57" spans="2:5" ht="14.25" customHeight="1" x14ac:dyDescent="0.2">
      <c r="B57" s="1195" t="s">
        <v>1640</v>
      </c>
      <c r="C57" s="338" t="s">
        <v>2078</v>
      </c>
      <c r="D57" s="1195" t="s">
        <v>936</v>
      </c>
      <c r="E57" s="333">
        <v>550</v>
      </c>
    </row>
    <row r="58" spans="2:5" x14ac:dyDescent="0.2">
      <c r="B58" s="1195" t="s">
        <v>1641</v>
      </c>
      <c r="C58" s="338" t="s">
        <v>996</v>
      </c>
      <c r="D58" s="1195" t="s">
        <v>938</v>
      </c>
      <c r="E58" s="333">
        <v>40000</v>
      </c>
    </row>
    <row r="59" spans="2:5" x14ac:dyDescent="0.2">
      <c r="B59" s="1195" t="s">
        <v>1642</v>
      </c>
      <c r="C59" s="338" t="s">
        <v>997</v>
      </c>
      <c r="D59" s="1195" t="s">
        <v>938</v>
      </c>
      <c r="E59" s="333">
        <v>90000</v>
      </c>
    </row>
    <row r="60" spans="2:5" x14ac:dyDescent="0.2">
      <c r="B60" s="1195" t="s">
        <v>1643</v>
      </c>
      <c r="C60" s="338" t="s">
        <v>944</v>
      </c>
      <c r="D60" s="1195" t="s">
        <v>938</v>
      </c>
      <c r="E60" s="333">
        <v>44500</v>
      </c>
    </row>
    <row r="61" spans="2:5" x14ac:dyDescent="0.2">
      <c r="B61" s="1195" t="s">
        <v>1644</v>
      </c>
      <c r="C61" s="338" t="s">
        <v>943</v>
      </c>
      <c r="D61" s="1195" t="s">
        <v>938</v>
      </c>
      <c r="E61" s="333">
        <v>52000</v>
      </c>
    </row>
    <row r="62" spans="2:5" x14ac:dyDescent="0.2">
      <c r="B62" s="1195" t="s">
        <v>1645</v>
      </c>
      <c r="C62" s="338" t="s">
        <v>998</v>
      </c>
      <c r="D62" s="1195" t="s">
        <v>938</v>
      </c>
      <c r="E62" s="333">
        <v>80000</v>
      </c>
    </row>
    <row r="63" spans="2:5" x14ac:dyDescent="0.2">
      <c r="B63" s="1195" t="s">
        <v>1646</v>
      </c>
      <c r="C63" s="338" t="s">
        <v>999</v>
      </c>
      <c r="D63" s="1195" t="s">
        <v>938</v>
      </c>
      <c r="E63" s="333">
        <v>70000</v>
      </c>
    </row>
    <row r="64" spans="2:5" x14ac:dyDescent="0.2">
      <c r="B64" s="1195" t="s">
        <v>1647</v>
      </c>
      <c r="C64" s="338" t="s">
        <v>1000</v>
      </c>
      <c r="D64" s="1195" t="s">
        <v>938</v>
      </c>
      <c r="E64" s="1041">
        <v>38000</v>
      </c>
    </row>
    <row r="65" spans="2:5" x14ac:dyDescent="0.2">
      <c r="B65" s="1195" t="s">
        <v>1648</v>
      </c>
      <c r="C65" s="338" t="s">
        <v>1001</v>
      </c>
      <c r="D65" s="1195" t="s">
        <v>938</v>
      </c>
      <c r="E65" s="333">
        <v>70000</v>
      </c>
    </row>
    <row r="66" spans="2:5" x14ac:dyDescent="0.2">
      <c r="B66" s="1195" t="s">
        <v>1649</v>
      </c>
      <c r="C66" s="354" t="s">
        <v>2729</v>
      </c>
      <c r="D66" s="1195" t="s">
        <v>938</v>
      </c>
      <c r="E66" s="1041">
        <v>40000</v>
      </c>
    </row>
    <row r="67" spans="2:5" x14ac:dyDescent="0.2">
      <c r="B67" s="1195" t="s">
        <v>1650</v>
      </c>
      <c r="C67" s="338" t="s">
        <v>1002</v>
      </c>
      <c r="D67" s="1195" t="s">
        <v>938</v>
      </c>
      <c r="E67" s="1041">
        <v>40000</v>
      </c>
    </row>
    <row r="68" spans="2:5" x14ac:dyDescent="0.2">
      <c r="B68" s="1195" t="s">
        <v>1651</v>
      </c>
      <c r="C68" s="338" t="s">
        <v>1003</v>
      </c>
      <c r="D68" s="1195" t="s">
        <v>938</v>
      </c>
      <c r="E68" s="333">
        <v>238960</v>
      </c>
    </row>
    <row r="69" spans="2:5" x14ac:dyDescent="0.2">
      <c r="B69" s="1195" t="s">
        <v>1652</v>
      </c>
      <c r="C69" s="338" t="s">
        <v>1004</v>
      </c>
      <c r="D69" s="1195" t="s">
        <v>1005</v>
      </c>
      <c r="E69" s="333">
        <v>12000</v>
      </c>
    </row>
    <row r="70" spans="2:5" x14ac:dyDescent="0.2">
      <c r="B70" s="1195" t="s">
        <v>1281</v>
      </c>
      <c r="C70" s="338" t="s">
        <v>1006</v>
      </c>
      <c r="D70" s="1195" t="s">
        <v>938</v>
      </c>
      <c r="E70" s="333">
        <v>42000</v>
      </c>
    </row>
    <row r="71" spans="2:5" x14ac:dyDescent="0.2">
      <c r="B71" s="1195" t="s">
        <v>1282</v>
      </c>
      <c r="C71" s="338" t="s">
        <v>2024</v>
      </c>
      <c r="D71" s="1195" t="s">
        <v>938</v>
      </c>
      <c r="E71" s="333">
        <v>30000</v>
      </c>
    </row>
    <row r="72" spans="2:5" x14ac:dyDescent="0.2">
      <c r="B72" s="1195" t="s">
        <v>1283</v>
      </c>
      <c r="C72" s="338" t="s">
        <v>2025</v>
      </c>
      <c r="D72" s="1195" t="s">
        <v>938</v>
      </c>
      <c r="E72" s="333">
        <v>30000</v>
      </c>
    </row>
    <row r="73" spans="2:5" x14ac:dyDescent="0.2">
      <c r="B73" s="1195" t="s">
        <v>1284</v>
      </c>
      <c r="C73" s="338" t="s">
        <v>2026</v>
      </c>
      <c r="D73" s="1195" t="s">
        <v>936</v>
      </c>
      <c r="E73" s="333">
        <f>(4950*1.16)*1.2</f>
        <v>6890.4</v>
      </c>
    </row>
    <row r="74" spans="2:5" x14ac:dyDescent="0.2">
      <c r="B74" s="1195" t="s">
        <v>1285</v>
      </c>
      <c r="C74" s="334" t="s">
        <v>2027</v>
      </c>
      <c r="D74" s="1418" t="s">
        <v>931</v>
      </c>
      <c r="E74" s="1421">
        <f>27750*1.16</f>
        <v>32189.999999999996</v>
      </c>
    </row>
    <row r="75" spans="2:5" x14ac:dyDescent="0.2">
      <c r="B75" s="1195" t="s">
        <v>1286</v>
      </c>
      <c r="C75" s="334" t="s">
        <v>1287</v>
      </c>
      <c r="D75" s="1418" t="s">
        <v>938</v>
      </c>
      <c r="E75" s="1421">
        <f>+'Análisis Precios Básicos'!E12</f>
        <v>190670</v>
      </c>
    </row>
    <row r="76" spans="2:5" x14ac:dyDescent="0.2">
      <c r="B76" s="1195" t="s">
        <v>1288</v>
      </c>
      <c r="C76" s="334" t="s">
        <v>2084</v>
      </c>
      <c r="D76" s="1418" t="s">
        <v>938</v>
      </c>
      <c r="E76" s="1421">
        <f>+'Análisis Precios Básicos'!E24</f>
        <v>327683</v>
      </c>
    </row>
    <row r="77" spans="2:5" x14ac:dyDescent="0.2">
      <c r="B77" s="1195" t="s">
        <v>1289</v>
      </c>
      <c r="C77" s="334" t="s">
        <v>949</v>
      </c>
      <c r="D77" s="1418" t="s">
        <v>938</v>
      </c>
      <c r="E77" s="1421">
        <f>+'Análisis Precios Básicos'!E36</f>
        <v>342389</v>
      </c>
    </row>
    <row r="78" spans="2:5" x14ac:dyDescent="0.2">
      <c r="B78" s="1195" t="s">
        <v>1290</v>
      </c>
      <c r="C78" s="334" t="s">
        <v>950</v>
      </c>
      <c r="D78" s="1418" t="s">
        <v>938</v>
      </c>
      <c r="E78" s="1421">
        <f>+'Análisis Precios Básicos'!E44</f>
        <v>264681</v>
      </c>
    </row>
    <row r="79" spans="2:5" x14ac:dyDescent="0.2">
      <c r="B79" s="1195" t="s">
        <v>1291</v>
      </c>
      <c r="C79" s="334" t="s">
        <v>951</v>
      </c>
      <c r="D79" s="1418" t="s">
        <v>938</v>
      </c>
      <c r="E79" s="1421">
        <f>+'Análisis Precios Básicos'!E53</f>
        <v>309181</v>
      </c>
    </row>
    <row r="80" spans="2:5" x14ac:dyDescent="0.2">
      <c r="B80" s="1195" t="s">
        <v>1292</v>
      </c>
      <c r="C80" s="334" t="s">
        <v>952</v>
      </c>
      <c r="D80" s="1418" t="s">
        <v>938</v>
      </c>
      <c r="E80" s="1421">
        <f>+'Análisis Precios Básicos'!E61</f>
        <v>200388</v>
      </c>
    </row>
    <row r="81" spans="2:5" x14ac:dyDescent="0.2">
      <c r="B81" s="1195" t="s">
        <v>1293</v>
      </c>
      <c r="C81" s="334" t="s">
        <v>953</v>
      </c>
      <c r="D81" s="1418" t="s">
        <v>938</v>
      </c>
      <c r="E81" s="1421">
        <f>+'Análisis Precios Básicos'!E69</f>
        <v>237154</v>
      </c>
    </row>
    <row r="82" spans="2:5" x14ac:dyDescent="0.2">
      <c r="B82" s="1195" t="s">
        <v>1294</v>
      </c>
      <c r="C82" s="334" t="s">
        <v>954</v>
      </c>
      <c r="D82" s="1418" t="s">
        <v>938</v>
      </c>
      <c r="E82" s="1421">
        <f>+'Análisis Precios Básicos'!E76</f>
        <v>223511</v>
      </c>
    </row>
    <row r="83" spans="2:5" x14ac:dyDescent="0.2">
      <c r="B83" s="1195" t="s">
        <v>1295</v>
      </c>
      <c r="C83" s="334" t="s">
        <v>957</v>
      </c>
      <c r="D83" s="1418" t="s">
        <v>938</v>
      </c>
      <c r="E83" s="1421">
        <f>+'Análisis Precios Básicos'!E84</f>
        <v>298192</v>
      </c>
    </row>
    <row r="84" spans="2:5" x14ac:dyDescent="0.2">
      <c r="B84" s="1195" t="s">
        <v>1296</v>
      </c>
      <c r="C84" s="334" t="s">
        <v>958</v>
      </c>
      <c r="D84" s="1418" t="s">
        <v>938</v>
      </c>
      <c r="E84" s="1421">
        <f>+'Análisis Precios Básicos'!E91</f>
        <v>304402</v>
      </c>
    </row>
    <row r="85" spans="2:5" x14ac:dyDescent="0.2">
      <c r="B85" s="1195" t="s">
        <v>1297</v>
      </c>
      <c r="C85" s="334" t="s">
        <v>959</v>
      </c>
      <c r="D85" s="1418" t="s">
        <v>938</v>
      </c>
      <c r="E85" s="1421">
        <f>+'Análisis Precios Básicos'!E99</f>
        <v>384202</v>
      </c>
    </row>
    <row r="86" spans="2:5" x14ac:dyDescent="0.2">
      <c r="B86" s="1195" t="s">
        <v>1298</v>
      </c>
      <c r="C86" s="334" t="s">
        <v>960</v>
      </c>
      <c r="D86" s="1418" t="s">
        <v>938</v>
      </c>
      <c r="E86" s="1421">
        <f>+'Análisis Precios Básicos'!E107</f>
        <v>226270</v>
      </c>
    </row>
    <row r="87" spans="2:5" x14ac:dyDescent="0.2">
      <c r="B87" s="1195" t="s">
        <v>430</v>
      </c>
      <c r="C87" s="334" t="s">
        <v>431</v>
      </c>
      <c r="D87" s="1418" t="s">
        <v>905</v>
      </c>
      <c r="E87" s="1421">
        <v>24000</v>
      </c>
    </row>
    <row r="88" spans="2:5" x14ac:dyDescent="0.2">
      <c r="B88" s="1195" t="s">
        <v>2275</v>
      </c>
      <c r="C88" s="354" t="s">
        <v>2276</v>
      </c>
      <c r="D88" s="1194" t="s">
        <v>904</v>
      </c>
      <c r="E88" s="1421">
        <v>35000</v>
      </c>
    </row>
    <row r="89" spans="2:5" x14ac:dyDescent="0.2">
      <c r="B89" s="1417">
        <v>6</v>
      </c>
      <c r="C89" s="1417" t="s">
        <v>2028</v>
      </c>
      <c r="D89" s="1420"/>
      <c r="E89" s="1420"/>
    </row>
    <row r="90" spans="2:5" x14ac:dyDescent="0.2">
      <c r="B90" s="1195" t="s">
        <v>1299</v>
      </c>
      <c r="C90" s="338" t="s">
        <v>2029</v>
      </c>
      <c r="D90" s="1195" t="s">
        <v>936</v>
      </c>
      <c r="E90" s="333">
        <f>+(2500)*1.2</f>
        <v>3000</v>
      </c>
    </row>
    <row r="91" spans="2:5" x14ac:dyDescent="0.2">
      <c r="B91" s="1195" t="s">
        <v>1300</v>
      </c>
      <c r="C91" s="338" t="s">
        <v>2030</v>
      </c>
      <c r="D91" s="1195" t="s">
        <v>936</v>
      </c>
      <c r="E91" s="333">
        <v>3900</v>
      </c>
    </row>
    <row r="92" spans="2:5" x14ac:dyDescent="0.2">
      <c r="B92" s="1195" t="s">
        <v>1301</v>
      </c>
      <c r="C92" s="338" t="s">
        <v>2031</v>
      </c>
      <c r="D92" s="1195" t="s">
        <v>936</v>
      </c>
      <c r="E92" s="333">
        <f>+(2567*1.2)</f>
        <v>3080.4</v>
      </c>
    </row>
    <row r="93" spans="2:5" x14ac:dyDescent="0.2">
      <c r="B93" s="1195" t="s">
        <v>1302</v>
      </c>
      <c r="C93" s="338" t="s">
        <v>2032</v>
      </c>
      <c r="D93" s="1195" t="s">
        <v>936</v>
      </c>
      <c r="E93" s="333">
        <f>+(3000*1.2)</f>
        <v>3600</v>
      </c>
    </row>
    <row r="94" spans="2:5" x14ac:dyDescent="0.2">
      <c r="B94" s="1195" t="s">
        <v>1303</v>
      </c>
      <c r="C94" s="334" t="s">
        <v>2033</v>
      </c>
      <c r="D94" s="1418" t="s">
        <v>904</v>
      </c>
      <c r="E94" s="1421">
        <v>3900</v>
      </c>
    </row>
    <row r="95" spans="2:5" x14ac:dyDescent="0.2">
      <c r="B95" s="1195" t="s">
        <v>1304</v>
      </c>
      <c r="C95" s="338" t="s">
        <v>2034</v>
      </c>
      <c r="D95" s="1195" t="s">
        <v>904</v>
      </c>
      <c r="E95" s="333">
        <v>6113</v>
      </c>
    </row>
    <row r="96" spans="2:5" x14ac:dyDescent="0.2">
      <c r="B96" s="1195" t="s">
        <v>1305</v>
      </c>
      <c r="C96" s="338" t="s">
        <v>2035</v>
      </c>
      <c r="D96" s="1195" t="s">
        <v>904</v>
      </c>
      <c r="E96" s="333">
        <v>8798</v>
      </c>
    </row>
    <row r="97" spans="2:5" x14ac:dyDescent="0.2">
      <c r="B97" s="1195" t="s">
        <v>1306</v>
      </c>
      <c r="C97" s="338" t="s">
        <v>2036</v>
      </c>
      <c r="D97" s="1195" t="s">
        <v>905</v>
      </c>
      <c r="E97" s="333">
        <v>53274</v>
      </c>
    </row>
    <row r="98" spans="2:5" x14ac:dyDescent="0.2">
      <c r="B98" s="1195" t="s">
        <v>1307</v>
      </c>
      <c r="C98" s="338" t="s">
        <v>2037</v>
      </c>
      <c r="D98" s="1195" t="s">
        <v>936</v>
      </c>
      <c r="E98" s="333">
        <v>4100</v>
      </c>
    </row>
    <row r="99" spans="2:5" x14ac:dyDescent="0.2">
      <c r="B99" s="1195" t="s">
        <v>1308</v>
      </c>
      <c r="C99" s="338" t="s">
        <v>2038</v>
      </c>
      <c r="D99" s="1195" t="s">
        <v>936</v>
      </c>
      <c r="E99" s="333">
        <v>4100</v>
      </c>
    </row>
    <row r="100" spans="2:5" x14ac:dyDescent="0.2">
      <c r="B100" s="1195" t="s">
        <v>1309</v>
      </c>
      <c r="C100" s="338" t="s">
        <v>2039</v>
      </c>
      <c r="D100" s="1195" t="s">
        <v>936</v>
      </c>
      <c r="E100" s="333">
        <v>4100</v>
      </c>
    </row>
    <row r="101" spans="2:5" x14ac:dyDescent="0.2">
      <c r="B101" s="1417">
        <v>7</v>
      </c>
      <c r="C101" s="1417" t="s">
        <v>2040</v>
      </c>
      <c r="D101" s="1420"/>
      <c r="E101" s="1420"/>
    </row>
    <row r="102" spans="2:5" x14ac:dyDescent="0.2">
      <c r="B102" s="1195" t="s">
        <v>1310</v>
      </c>
      <c r="C102" s="338" t="s">
        <v>2041</v>
      </c>
      <c r="D102" s="1195" t="s">
        <v>1265</v>
      </c>
      <c r="E102" s="333">
        <f>ROUND(9000*1.16,0)</f>
        <v>10440</v>
      </c>
    </row>
    <row r="103" spans="2:5" x14ac:dyDescent="0.2">
      <c r="B103" s="1195" t="s">
        <v>1311</v>
      </c>
      <c r="C103" s="338" t="s">
        <v>2042</v>
      </c>
      <c r="D103" s="1195" t="s">
        <v>1265</v>
      </c>
      <c r="E103" s="1421">
        <f>ROUND(16000*1.16,0)*1.2</f>
        <v>22272</v>
      </c>
    </row>
    <row r="104" spans="2:5" x14ac:dyDescent="0.2">
      <c r="B104" s="1195" t="s">
        <v>1312</v>
      </c>
      <c r="C104" s="338" t="s">
        <v>2043</v>
      </c>
      <c r="D104" s="1195" t="s">
        <v>1265</v>
      </c>
      <c r="E104" s="333">
        <f>27500*1.16</f>
        <v>31899.999999999996</v>
      </c>
    </row>
    <row r="105" spans="2:5" x14ac:dyDescent="0.2">
      <c r="B105" s="1418" t="s">
        <v>1662</v>
      </c>
      <c r="C105" s="1422" t="s">
        <v>1663</v>
      </c>
      <c r="D105" s="1418" t="s">
        <v>1265</v>
      </c>
      <c r="E105" s="333">
        <v>460</v>
      </c>
    </row>
    <row r="106" spans="2:5" x14ac:dyDescent="0.2">
      <c r="B106" s="1418" t="s">
        <v>1664</v>
      </c>
      <c r="C106" s="1422" t="s">
        <v>1665</v>
      </c>
      <c r="D106" s="1418" t="s">
        <v>1265</v>
      </c>
      <c r="E106" s="333">
        <v>2600</v>
      </c>
    </row>
    <row r="107" spans="2:5" x14ac:dyDescent="0.2">
      <c r="B107" s="1417">
        <v>8</v>
      </c>
      <c r="C107" s="1417" t="s">
        <v>2044</v>
      </c>
      <c r="D107" s="1420"/>
      <c r="E107" s="1420"/>
    </row>
    <row r="108" spans="2:5" x14ac:dyDescent="0.2">
      <c r="B108" s="1423" t="s">
        <v>1313</v>
      </c>
      <c r="C108" s="1424" t="s">
        <v>2045</v>
      </c>
      <c r="D108" s="1425" t="s">
        <v>2046</v>
      </c>
      <c r="E108" s="333">
        <v>20000</v>
      </c>
    </row>
    <row r="109" spans="2:5" x14ac:dyDescent="0.2">
      <c r="B109" s="1423" t="s">
        <v>1314</v>
      </c>
      <c r="C109" s="1424" t="s">
        <v>2047</v>
      </c>
      <c r="D109" s="1425" t="s">
        <v>936</v>
      </c>
      <c r="E109" s="333">
        <v>300</v>
      </c>
    </row>
    <row r="110" spans="2:5" x14ac:dyDescent="0.2">
      <c r="B110" s="1423" t="s">
        <v>1315</v>
      </c>
      <c r="C110" s="1424" t="s">
        <v>2048</v>
      </c>
      <c r="D110" s="1425" t="s">
        <v>2046</v>
      </c>
      <c r="E110" s="333">
        <v>55500</v>
      </c>
    </row>
    <row r="111" spans="2:5" x14ac:dyDescent="0.2">
      <c r="B111" s="1423" t="s">
        <v>1316</v>
      </c>
      <c r="C111" s="1424" t="s">
        <v>2049</v>
      </c>
      <c r="D111" s="1425" t="s">
        <v>904</v>
      </c>
      <c r="E111" s="333">
        <v>9500</v>
      </c>
    </row>
    <row r="112" spans="2:5" x14ac:dyDescent="0.2">
      <c r="B112" s="1423" t="s">
        <v>1317</v>
      </c>
      <c r="C112" s="1424" t="s">
        <v>2050</v>
      </c>
      <c r="D112" s="1425" t="s">
        <v>1265</v>
      </c>
      <c r="E112" s="333">
        <v>3000</v>
      </c>
    </row>
    <row r="113" spans="2:5" x14ac:dyDescent="0.2">
      <c r="B113" s="1423" t="s">
        <v>1318</v>
      </c>
      <c r="C113" s="1424" t="s">
        <v>2051</v>
      </c>
      <c r="D113" s="1425" t="s">
        <v>2046</v>
      </c>
      <c r="E113" s="333">
        <v>65000</v>
      </c>
    </row>
    <row r="114" spans="2:5" x14ac:dyDescent="0.2">
      <c r="B114" s="1423" t="s">
        <v>1319</v>
      </c>
      <c r="C114" s="1426" t="s">
        <v>2052</v>
      </c>
      <c r="D114" s="1427" t="s">
        <v>2053</v>
      </c>
      <c r="E114" s="333">
        <v>33800</v>
      </c>
    </row>
    <row r="115" spans="2:5" x14ac:dyDescent="0.2">
      <c r="B115" s="1423" t="s">
        <v>1320</v>
      </c>
      <c r="C115" s="1426" t="s">
        <v>2054</v>
      </c>
      <c r="D115" s="1425" t="s">
        <v>2046</v>
      </c>
      <c r="E115" s="333">
        <v>64300</v>
      </c>
    </row>
    <row r="116" spans="2:5" x14ac:dyDescent="0.2">
      <c r="B116" s="1423" t="s">
        <v>2002</v>
      </c>
      <c r="C116" s="1426" t="s">
        <v>2003</v>
      </c>
      <c r="D116" s="1425" t="s">
        <v>1265</v>
      </c>
      <c r="E116" s="333">
        <v>5000</v>
      </c>
    </row>
    <row r="117" spans="2:5" x14ac:dyDescent="0.2">
      <c r="B117" s="1423" t="s">
        <v>440</v>
      </c>
      <c r="C117" s="1426" t="s">
        <v>439</v>
      </c>
      <c r="D117" s="1425" t="s">
        <v>2046</v>
      </c>
      <c r="E117" s="333">
        <v>31800</v>
      </c>
    </row>
    <row r="118" spans="2:5" x14ac:dyDescent="0.2">
      <c r="B118" s="1417">
        <v>9</v>
      </c>
      <c r="C118" s="1428" t="s">
        <v>2055</v>
      </c>
      <c r="D118" s="1429"/>
      <c r="E118" s="1429"/>
    </row>
    <row r="119" spans="2:5" x14ac:dyDescent="0.2">
      <c r="B119" s="1195" t="s">
        <v>1321</v>
      </c>
      <c r="C119" s="338" t="s">
        <v>2056</v>
      </c>
      <c r="D119" s="1195" t="s">
        <v>904</v>
      </c>
      <c r="E119" s="333">
        <v>2603</v>
      </c>
    </row>
    <row r="120" spans="2:5" x14ac:dyDescent="0.2">
      <c r="B120" s="1195" t="s">
        <v>1322</v>
      </c>
      <c r="C120" s="338" t="s">
        <v>2057</v>
      </c>
      <c r="D120" s="1195" t="s">
        <v>904</v>
      </c>
      <c r="E120" s="333">
        <v>3877</v>
      </c>
    </row>
    <row r="121" spans="2:5" x14ac:dyDescent="0.2">
      <c r="B121" s="1195" t="s">
        <v>1323</v>
      </c>
      <c r="C121" s="338" t="s">
        <v>2058</v>
      </c>
      <c r="D121" s="1195" t="s">
        <v>1265</v>
      </c>
      <c r="E121" s="333">
        <f>ROUND(23900*1.16*0.9,0)</f>
        <v>24952</v>
      </c>
    </row>
    <row r="122" spans="2:5" x14ac:dyDescent="0.2">
      <c r="B122" s="1195" t="s">
        <v>1324</v>
      </c>
      <c r="C122" s="338" t="s">
        <v>2059</v>
      </c>
      <c r="D122" s="1195" t="s">
        <v>1265</v>
      </c>
      <c r="E122" s="333">
        <f>ROUND(13746*1.16*0.9,0)</f>
        <v>14351</v>
      </c>
    </row>
    <row r="123" spans="2:5" x14ac:dyDescent="0.2">
      <c r="B123" s="1417">
        <v>10</v>
      </c>
      <c r="C123" s="1417" t="s">
        <v>2060</v>
      </c>
      <c r="D123" s="1420"/>
      <c r="E123" s="1420"/>
    </row>
    <row r="124" spans="2:5" x14ac:dyDescent="0.2">
      <c r="B124" s="1195" t="s">
        <v>1325</v>
      </c>
      <c r="C124" s="338" t="s">
        <v>2061</v>
      </c>
      <c r="D124" s="1195" t="s">
        <v>905</v>
      </c>
      <c r="E124" s="333">
        <v>30000</v>
      </c>
    </row>
    <row r="125" spans="2:5" x14ac:dyDescent="0.2">
      <c r="B125" s="1195" t="s">
        <v>1326</v>
      </c>
      <c r="C125" s="338" t="s">
        <v>2062</v>
      </c>
      <c r="D125" s="1195" t="s">
        <v>905</v>
      </c>
      <c r="E125" s="333">
        <v>45000</v>
      </c>
    </row>
    <row r="126" spans="2:5" x14ac:dyDescent="0.2">
      <c r="B126" s="1195" t="s">
        <v>1327</v>
      </c>
      <c r="C126" s="338" t="s">
        <v>2063</v>
      </c>
      <c r="D126" s="1195" t="s">
        <v>905</v>
      </c>
      <c r="E126" s="333">
        <v>20000</v>
      </c>
    </row>
    <row r="127" spans="2:5" x14ac:dyDescent="0.2">
      <c r="B127" s="1195" t="s">
        <v>1328</v>
      </c>
      <c r="C127" s="338" t="s">
        <v>2064</v>
      </c>
      <c r="D127" s="1195" t="s">
        <v>905</v>
      </c>
      <c r="E127" s="333">
        <v>20000</v>
      </c>
    </row>
    <row r="128" spans="2:5" x14ac:dyDescent="0.2">
      <c r="B128" s="1195" t="s">
        <v>1329</v>
      </c>
      <c r="C128" s="338" t="s">
        <v>2065</v>
      </c>
      <c r="D128" s="1195" t="s">
        <v>905</v>
      </c>
      <c r="E128" s="333">
        <v>45000</v>
      </c>
    </row>
    <row r="129" spans="2:5" x14ac:dyDescent="0.2">
      <c r="B129" s="1195" t="s">
        <v>1330</v>
      </c>
      <c r="C129" s="338" t="s">
        <v>2066</v>
      </c>
      <c r="D129" s="1195" t="s">
        <v>905</v>
      </c>
      <c r="E129" s="333">
        <v>20000</v>
      </c>
    </row>
    <row r="130" spans="2:5" x14ac:dyDescent="0.2">
      <c r="B130" s="1195" t="s">
        <v>1331</v>
      </c>
      <c r="C130" s="338" t="s">
        <v>2067</v>
      </c>
      <c r="D130" s="1195" t="s">
        <v>905</v>
      </c>
      <c r="E130" s="333">
        <v>5421</v>
      </c>
    </row>
    <row r="131" spans="2:5" x14ac:dyDescent="0.2">
      <c r="B131" s="1195" t="s">
        <v>1332</v>
      </c>
      <c r="C131" s="338" t="s">
        <v>2068</v>
      </c>
      <c r="D131" s="1195" t="s">
        <v>905</v>
      </c>
      <c r="E131" s="333">
        <v>10000</v>
      </c>
    </row>
    <row r="132" spans="2:5" x14ac:dyDescent="0.2">
      <c r="B132" s="1417">
        <v>11</v>
      </c>
      <c r="C132" s="1417" t="s">
        <v>2069</v>
      </c>
      <c r="D132" s="1420"/>
      <c r="E132" s="1420"/>
    </row>
    <row r="133" spans="2:5" x14ac:dyDescent="0.2">
      <c r="B133" s="1195" t="s">
        <v>1333</v>
      </c>
      <c r="C133" s="338" t="s">
        <v>2070</v>
      </c>
      <c r="D133" s="1195" t="s">
        <v>914</v>
      </c>
      <c r="E133" s="333">
        <f>35000*1.16</f>
        <v>40600</v>
      </c>
    </row>
    <row r="134" spans="2:5" x14ac:dyDescent="0.2">
      <c r="B134" s="1195" t="s">
        <v>1334</v>
      </c>
      <c r="C134" s="338" t="s">
        <v>2071</v>
      </c>
      <c r="D134" s="1195" t="s">
        <v>914</v>
      </c>
      <c r="E134" s="333">
        <v>35000</v>
      </c>
    </row>
    <row r="135" spans="2:5" x14ac:dyDescent="0.2">
      <c r="B135" s="1195" t="s">
        <v>1335</v>
      </c>
      <c r="C135" s="338" t="s">
        <v>2072</v>
      </c>
      <c r="D135" s="1418" t="s">
        <v>2073</v>
      </c>
      <c r="E135" s="333">
        <f>25000*1.16</f>
        <v>28999.999999999996</v>
      </c>
    </row>
    <row r="136" spans="2:5" x14ac:dyDescent="0.2">
      <c r="B136" s="1195" t="s">
        <v>1336</v>
      </c>
      <c r="C136" s="338" t="s">
        <v>2074</v>
      </c>
      <c r="D136" s="1418" t="s">
        <v>1265</v>
      </c>
      <c r="E136" s="333">
        <v>3200</v>
      </c>
    </row>
    <row r="137" spans="2:5" x14ac:dyDescent="0.2">
      <c r="B137" s="1195" t="s">
        <v>1337</v>
      </c>
      <c r="C137" s="338" t="s">
        <v>2075</v>
      </c>
      <c r="D137" s="1195" t="s">
        <v>914</v>
      </c>
      <c r="E137" s="1421">
        <f>15000*1.16</f>
        <v>17400</v>
      </c>
    </row>
    <row r="138" spans="2:5" x14ac:dyDescent="0.2">
      <c r="B138" s="1195" t="s">
        <v>1338</v>
      </c>
      <c r="C138" s="338" t="s">
        <v>2076</v>
      </c>
      <c r="D138" s="1195" t="s">
        <v>914</v>
      </c>
      <c r="E138" s="333">
        <f>ROUND(160*1.16,0)</f>
        <v>186</v>
      </c>
    </row>
    <row r="139" spans="2:5" x14ac:dyDescent="0.2">
      <c r="B139" s="1195" t="s">
        <v>1339</v>
      </c>
      <c r="C139" s="338" t="s">
        <v>2077</v>
      </c>
      <c r="D139" s="1195" t="s">
        <v>914</v>
      </c>
      <c r="E139" s="333">
        <f>ROUND(97*1.16,0)</f>
        <v>113</v>
      </c>
    </row>
    <row r="140" spans="2:5" x14ac:dyDescent="0.2">
      <c r="B140" s="1195" t="s">
        <v>1340</v>
      </c>
      <c r="C140" s="338" t="s">
        <v>727</v>
      </c>
      <c r="D140" s="1195" t="s">
        <v>914</v>
      </c>
      <c r="E140" s="333">
        <f>ROUND(97*1.16,0)</f>
        <v>113</v>
      </c>
    </row>
    <row r="141" spans="2:5" x14ac:dyDescent="0.2">
      <c r="B141" s="1195" t="s">
        <v>1341</v>
      </c>
      <c r="C141" s="338" t="s">
        <v>728</v>
      </c>
      <c r="D141" s="1195" t="s">
        <v>914</v>
      </c>
      <c r="E141" s="333">
        <v>350000</v>
      </c>
    </row>
    <row r="142" spans="2:5" x14ac:dyDescent="0.2">
      <c r="B142" s="1195" t="s">
        <v>1342</v>
      </c>
      <c r="C142" s="338" t="s">
        <v>729</v>
      </c>
      <c r="D142" s="1195" t="s">
        <v>914</v>
      </c>
      <c r="E142" s="333">
        <f>30000*1.16</f>
        <v>34800</v>
      </c>
    </row>
    <row r="143" spans="2:5" x14ac:dyDescent="0.2">
      <c r="B143" s="1195" t="s">
        <v>1343</v>
      </c>
      <c r="C143" s="338" t="s">
        <v>730</v>
      </c>
      <c r="D143" s="1195" t="s">
        <v>914</v>
      </c>
      <c r="E143" s="333">
        <f>30000*1.16</f>
        <v>34800</v>
      </c>
    </row>
    <row r="144" spans="2:5" x14ac:dyDescent="0.2">
      <c r="B144" s="1195" t="s">
        <v>1344</v>
      </c>
      <c r="C144" s="338" t="s">
        <v>731</v>
      </c>
      <c r="D144" s="1195" t="s">
        <v>914</v>
      </c>
      <c r="E144" s="333">
        <v>38000</v>
      </c>
    </row>
    <row r="145" spans="2:5" x14ac:dyDescent="0.2">
      <c r="B145" s="1195" t="s">
        <v>1345</v>
      </c>
      <c r="C145" s="338" t="s">
        <v>1668</v>
      </c>
      <c r="D145" s="1195" t="s">
        <v>1669</v>
      </c>
      <c r="E145" s="333">
        <f>800*1.16</f>
        <v>927.99999999999989</v>
      </c>
    </row>
    <row r="146" spans="2:5" x14ac:dyDescent="0.2">
      <c r="B146" s="1195" t="s">
        <v>1346</v>
      </c>
      <c r="C146" s="338" t="s">
        <v>1670</v>
      </c>
      <c r="D146" s="1195" t="s">
        <v>938</v>
      </c>
      <c r="E146" s="333">
        <f>35000*1.16</f>
        <v>40600</v>
      </c>
    </row>
    <row r="147" spans="2:5" x14ac:dyDescent="0.2">
      <c r="B147" s="1195" t="s">
        <v>1347</v>
      </c>
      <c r="C147" s="338" t="s">
        <v>1671</v>
      </c>
      <c r="D147" s="1195" t="s">
        <v>2073</v>
      </c>
      <c r="E147" s="333">
        <f>35000*1.16</f>
        <v>40600</v>
      </c>
    </row>
    <row r="148" spans="2:5" x14ac:dyDescent="0.2">
      <c r="B148" s="1195" t="s">
        <v>1348</v>
      </c>
      <c r="C148" s="338" t="s">
        <v>1672</v>
      </c>
      <c r="D148" s="1195" t="s">
        <v>2073</v>
      </c>
      <c r="E148" s="333">
        <v>232000</v>
      </c>
    </row>
    <row r="149" spans="2:5" x14ac:dyDescent="0.2">
      <c r="B149" s="1195" t="s">
        <v>1349</v>
      </c>
      <c r="C149" s="338" t="s">
        <v>1673</v>
      </c>
      <c r="D149" s="1195" t="s">
        <v>2073</v>
      </c>
      <c r="E149" s="333">
        <v>139200</v>
      </c>
    </row>
    <row r="150" spans="2:5" x14ac:dyDescent="0.2">
      <c r="B150" s="1195" t="s">
        <v>1350</v>
      </c>
      <c r="C150" s="338" t="s">
        <v>1674</v>
      </c>
      <c r="D150" s="1195" t="s">
        <v>2073</v>
      </c>
      <c r="E150" s="333">
        <v>75400</v>
      </c>
    </row>
    <row r="151" spans="2:5" x14ac:dyDescent="0.2">
      <c r="B151" s="1195" t="s">
        <v>1351</v>
      </c>
      <c r="C151" s="334" t="s">
        <v>1675</v>
      </c>
      <c r="D151" s="1195" t="s">
        <v>2073</v>
      </c>
      <c r="E151" s="333">
        <v>104400</v>
      </c>
    </row>
    <row r="152" spans="2:5" x14ac:dyDescent="0.2">
      <c r="B152" s="1195" t="s">
        <v>1352</v>
      </c>
      <c r="C152" s="338" t="s">
        <v>1676</v>
      </c>
      <c r="D152" s="1195" t="s">
        <v>914</v>
      </c>
      <c r="E152" s="333">
        <f>30000*1.16</f>
        <v>34800</v>
      </c>
    </row>
    <row r="153" spans="2:5" x14ac:dyDescent="0.2">
      <c r="B153" s="1195" t="s">
        <v>1353</v>
      </c>
      <c r="C153" s="338" t="s">
        <v>1677</v>
      </c>
      <c r="D153" s="1195" t="s">
        <v>914</v>
      </c>
      <c r="E153" s="1421">
        <f>ROUND(13000*1.16,0)</f>
        <v>15080</v>
      </c>
    </row>
    <row r="154" spans="2:5" x14ac:dyDescent="0.2">
      <c r="B154" s="1195" t="s">
        <v>1354</v>
      </c>
      <c r="C154" s="338" t="s">
        <v>1678</v>
      </c>
      <c r="D154" s="1195" t="s">
        <v>1265</v>
      </c>
      <c r="E154" s="1421">
        <v>1870</v>
      </c>
    </row>
    <row r="155" spans="2:5" x14ac:dyDescent="0.2">
      <c r="B155" s="1195" t="s">
        <v>1355</v>
      </c>
      <c r="C155" s="338" t="s">
        <v>1679</v>
      </c>
      <c r="D155" s="1195" t="s">
        <v>1265</v>
      </c>
      <c r="E155" s="1421">
        <v>2000</v>
      </c>
    </row>
    <row r="156" spans="2:5" x14ac:dyDescent="0.2">
      <c r="B156" s="1195" t="s">
        <v>2004</v>
      </c>
      <c r="C156" s="338" t="s">
        <v>2007</v>
      </c>
      <c r="D156" s="1195" t="s">
        <v>914</v>
      </c>
      <c r="E156" s="1421">
        <v>50000</v>
      </c>
    </row>
    <row r="157" spans="2:5" x14ac:dyDescent="0.2">
      <c r="B157" s="1195" t="s">
        <v>2010</v>
      </c>
      <c r="C157" s="338" t="s">
        <v>2011</v>
      </c>
      <c r="D157" s="1195" t="s">
        <v>2012</v>
      </c>
      <c r="E157" s="1421">
        <v>175000</v>
      </c>
    </row>
    <row r="158" spans="2:5" x14ac:dyDescent="0.2">
      <c r="B158" s="1195" t="s">
        <v>799</v>
      </c>
      <c r="C158" s="338" t="s">
        <v>800</v>
      </c>
      <c r="D158" s="1195" t="s">
        <v>938</v>
      </c>
      <c r="E158" s="1421">
        <v>480</v>
      </c>
    </row>
    <row r="159" spans="2:5" x14ac:dyDescent="0.2">
      <c r="B159" s="1195" t="s">
        <v>1388</v>
      </c>
      <c r="C159" s="338" t="s">
        <v>1389</v>
      </c>
      <c r="D159" s="1195" t="s">
        <v>913</v>
      </c>
      <c r="E159" s="1421">
        <v>1800</v>
      </c>
    </row>
    <row r="160" spans="2:5" x14ac:dyDescent="0.2">
      <c r="B160" s="1195" t="s">
        <v>508</v>
      </c>
      <c r="C160" s="338" t="s">
        <v>509</v>
      </c>
      <c r="D160" s="1195" t="s">
        <v>1265</v>
      </c>
      <c r="E160" s="1421">
        <v>2800</v>
      </c>
    </row>
    <row r="161" spans="2:5" x14ac:dyDescent="0.2">
      <c r="B161" s="1195" t="s">
        <v>871</v>
      </c>
      <c r="C161" s="338" t="s">
        <v>872</v>
      </c>
      <c r="D161" s="1195" t="s">
        <v>905</v>
      </c>
      <c r="E161" s="1421">
        <v>1000</v>
      </c>
    </row>
    <row r="162" spans="2:5" x14ac:dyDescent="0.2">
      <c r="B162" s="1195" t="s">
        <v>2021</v>
      </c>
      <c r="C162" s="338" t="s">
        <v>2022</v>
      </c>
      <c r="D162" s="1195" t="s">
        <v>1265</v>
      </c>
      <c r="E162" s="1421">
        <v>300</v>
      </c>
    </row>
    <row r="163" spans="2:5" x14ac:dyDescent="0.2">
      <c r="B163" s="1418" t="s">
        <v>1653</v>
      </c>
      <c r="C163" s="1422" t="s">
        <v>1654</v>
      </c>
      <c r="D163" s="1418" t="s">
        <v>1655</v>
      </c>
      <c r="E163" s="1421">
        <v>95000</v>
      </c>
    </row>
    <row r="164" spans="2:5" x14ac:dyDescent="0.2">
      <c r="B164" s="1418" t="s">
        <v>1656</v>
      </c>
      <c r="C164" s="1422" t="s">
        <v>1657</v>
      </c>
      <c r="D164" s="1418" t="s">
        <v>1655</v>
      </c>
      <c r="E164" s="1421">
        <v>60000</v>
      </c>
    </row>
    <row r="165" spans="2:5" x14ac:dyDescent="0.2">
      <c r="B165" s="1418" t="s">
        <v>1658</v>
      </c>
      <c r="C165" s="1422" t="s">
        <v>1659</v>
      </c>
      <c r="D165" s="1418" t="s">
        <v>1655</v>
      </c>
      <c r="E165" s="1421">
        <v>60000</v>
      </c>
    </row>
    <row r="166" spans="2:5" x14ac:dyDescent="0.2">
      <c r="B166" s="1418" t="s">
        <v>1660</v>
      </c>
      <c r="C166" s="334" t="s">
        <v>1661</v>
      </c>
      <c r="D166" s="1418" t="s">
        <v>1265</v>
      </c>
      <c r="E166" s="1421">
        <v>990</v>
      </c>
    </row>
    <row r="167" spans="2:5" x14ac:dyDescent="0.2">
      <c r="B167" s="1418" t="s">
        <v>1539</v>
      </c>
      <c r="C167" s="334" t="s">
        <v>1540</v>
      </c>
      <c r="D167" s="1418" t="s">
        <v>1655</v>
      </c>
      <c r="E167" s="1421">
        <v>20000</v>
      </c>
    </row>
    <row r="168" spans="2:5" x14ac:dyDescent="0.2">
      <c r="B168" s="1417">
        <v>12</v>
      </c>
      <c r="C168" s="1417" t="s">
        <v>1680</v>
      </c>
      <c r="D168" s="1420"/>
      <c r="E168" s="1420"/>
    </row>
    <row r="169" spans="2:5" ht="17.25" customHeight="1" x14ac:dyDescent="0.2">
      <c r="B169" s="1195" t="s">
        <v>1356</v>
      </c>
      <c r="C169" s="338" t="s">
        <v>1681</v>
      </c>
      <c r="D169" s="1195" t="s">
        <v>914</v>
      </c>
      <c r="E169" s="333">
        <v>139200</v>
      </c>
    </row>
    <row r="170" spans="2:5" x14ac:dyDescent="0.2">
      <c r="B170" s="1195" t="s">
        <v>1357</v>
      </c>
      <c r="C170" s="338" t="s">
        <v>1682</v>
      </c>
      <c r="D170" s="1195" t="s">
        <v>914</v>
      </c>
      <c r="E170" s="333">
        <v>185600</v>
      </c>
    </row>
    <row r="171" spans="2:5" x14ac:dyDescent="0.2">
      <c r="B171" s="1195" t="s">
        <v>1358</v>
      </c>
      <c r="C171" s="338" t="s">
        <v>1683</v>
      </c>
      <c r="D171" s="1195" t="s">
        <v>914</v>
      </c>
      <c r="E171" s="333">
        <v>371200</v>
      </c>
    </row>
    <row r="172" spans="2:5" x14ac:dyDescent="0.2">
      <c r="B172" s="1195" t="s">
        <v>1359</v>
      </c>
      <c r="C172" s="338" t="s">
        <v>1684</v>
      </c>
      <c r="D172" s="1195" t="s">
        <v>1685</v>
      </c>
      <c r="E172" s="333">
        <v>200000</v>
      </c>
    </row>
    <row r="173" spans="2:5" x14ac:dyDescent="0.2">
      <c r="B173" s="1195" t="s">
        <v>801</v>
      </c>
      <c r="C173" s="338" t="s">
        <v>802</v>
      </c>
      <c r="D173" s="1195" t="s">
        <v>803</v>
      </c>
      <c r="E173" s="333">
        <v>950</v>
      </c>
    </row>
    <row r="174" spans="2:5" x14ac:dyDescent="0.2">
      <c r="B174" s="1417">
        <v>13</v>
      </c>
      <c r="C174" s="1417" t="s">
        <v>1686</v>
      </c>
      <c r="D174" s="1420"/>
      <c r="E174" s="1420"/>
    </row>
    <row r="175" spans="2:5" x14ac:dyDescent="0.2">
      <c r="B175" s="1195" t="s">
        <v>1360</v>
      </c>
      <c r="C175" s="338" t="s">
        <v>1687</v>
      </c>
      <c r="D175" s="1195" t="s">
        <v>904</v>
      </c>
      <c r="E175" s="333">
        <v>1435</v>
      </c>
    </row>
    <row r="176" spans="2:5" x14ac:dyDescent="0.2">
      <c r="B176" s="1195" t="s">
        <v>1361</v>
      </c>
      <c r="C176" s="338" t="s">
        <v>1688</v>
      </c>
      <c r="D176" s="1195" t="s">
        <v>905</v>
      </c>
      <c r="E176" s="333">
        <f>7300*1.16</f>
        <v>8468</v>
      </c>
    </row>
    <row r="177" spans="2:5" x14ac:dyDescent="0.2">
      <c r="B177" s="1195" t="s">
        <v>1362</v>
      </c>
      <c r="C177" s="338" t="s">
        <v>1689</v>
      </c>
      <c r="D177" s="1195" t="s">
        <v>905</v>
      </c>
      <c r="E177" s="333">
        <f>14500*1.16</f>
        <v>16820</v>
      </c>
    </row>
    <row r="178" spans="2:5" x14ac:dyDescent="0.2">
      <c r="B178" s="1195" t="s">
        <v>1363</v>
      </c>
      <c r="C178" s="338" t="s">
        <v>1690</v>
      </c>
      <c r="D178" s="1195" t="s">
        <v>905</v>
      </c>
      <c r="E178" s="333">
        <f>5000*1.165</f>
        <v>5825</v>
      </c>
    </row>
    <row r="179" spans="2:5" x14ac:dyDescent="0.2">
      <c r="B179" s="1195" t="s">
        <v>1364</v>
      </c>
      <c r="C179" s="338" t="s">
        <v>1691</v>
      </c>
      <c r="D179" s="1195" t="s">
        <v>905</v>
      </c>
      <c r="E179" s="333">
        <f>3300*1.16</f>
        <v>3827.9999999999995</v>
      </c>
    </row>
    <row r="180" spans="2:5" x14ac:dyDescent="0.2">
      <c r="B180" s="1195" t="s">
        <v>1365</v>
      </c>
      <c r="C180" s="338" t="s">
        <v>1692</v>
      </c>
      <c r="D180" s="1195" t="s">
        <v>905</v>
      </c>
      <c r="E180" s="333">
        <f>1400*1.16</f>
        <v>1624</v>
      </c>
    </row>
    <row r="181" spans="2:5" x14ac:dyDescent="0.2">
      <c r="B181" s="1195" t="s">
        <v>1366</v>
      </c>
      <c r="C181" s="338" t="s">
        <v>1693</v>
      </c>
      <c r="D181" s="1195" t="s">
        <v>905</v>
      </c>
      <c r="E181" s="333">
        <f>2200*1.16</f>
        <v>2552</v>
      </c>
    </row>
    <row r="182" spans="2:5" x14ac:dyDescent="0.2">
      <c r="B182" s="1195" t="s">
        <v>1367</v>
      </c>
      <c r="C182" s="338" t="s">
        <v>1694</v>
      </c>
      <c r="D182" s="1195" t="s">
        <v>905</v>
      </c>
      <c r="E182" s="333">
        <f>1800*1.16</f>
        <v>2088</v>
      </c>
    </row>
    <row r="183" spans="2:5" x14ac:dyDescent="0.2">
      <c r="B183" s="1195" t="s">
        <v>1368</v>
      </c>
      <c r="C183" s="338" t="s">
        <v>1695</v>
      </c>
      <c r="D183" s="1195" t="s">
        <v>905</v>
      </c>
      <c r="E183" s="333">
        <v>2100</v>
      </c>
    </row>
    <row r="184" spans="2:5" x14ac:dyDescent="0.2">
      <c r="B184" s="1195" t="s">
        <v>1369</v>
      </c>
      <c r="C184" s="338" t="s">
        <v>1696</v>
      </c>
      <c r="D184" s="1195" t="s">
        <v>905</v>
      </c>
      <c r="E184" s="333">
        <v>525</v>
      </c>
    </row>
    <row r="185" spans="2:5" x14ac:dyDescent="0.2">
      <c r="B185" s="1195" t="s">
        <v>1370</v>
      </c>
      <c r="C185" s="338" t="s">
        <v>1697</v>
      </c>
      <c r="D185" s="1195" t="s">
        <v>905</v>
      </c>
      <c r="E185" s="333">
        <v>2800</v>
      </c>
    </row>
    <row r="186" spans="2:5" x14ac:dyDescent="0.2">
      <c r="B186" s="1195" t="s">
        <v>1371</v>
      </c>
      <c r="C186" s="338" t="s">
        <v>1698</v>
      </c>
      <c r="D186" s="1195" t="s">
        <v>905</v>
      </c>
      <c r="E186" s="333">
        <v>6500</v>
      </c>
    </row>
    <row r="187" spans="2:5" x14ac:dyDescent="0.2">
      <c r="B187" s="1195" t="s">
        <v>1372</v>
      </c>
      <c r="C187" s="338" t="s">
        <v>1699</v>
      </c>
      <c r="D187" s="1195" t="s">
        <v>904</v>
      </c>
      <c r="E187" s="333">
        <v>3000</v>
      </c>
    </row>
    <row r="188" spans="2:5" x14ac:dyDescent="0.2">
      <c r="B188" s="1195" t="s">
        <v>1373</v>
      </c>
      <c r="C188" s="334" t="s">
        <v>1700</v>
      </c>
      <c r="D188" s="1195" t="s">
        <v>1701</v>
      </c>
      <c r="E188" s="333">
        <v>1600</v>
      </c>
    </row>
    <row r="189" spans="2:5" x14ac:dyDescent="0.2">
      <c r="B189" s="1195" t="s">
        <v>1374</v>
      </c>
      <c r="C189" s="334" t="s">
        <v>805</v>
      </c>
      <c r="D189" s="1195" t="s">
        <v>936</v>
      </c>
      <c r="E189" s="333">
        <v>3200</v>
      </c>
    </row>
    <row r="190" spans="2:5" x14ac:dyDescent="0.2">
      <c r="B190" s="1195" t="s">
        <v>1375</v>
      </c>
      <c r="C190" s="338" t="s">
        <v>806</v>
      </c>
      <c r="D190" s="1195" t="s">
        <v>905</v>
      </c>
      <c r="E190" s="333">
        <v>14500</v>
      </c>
    </row>
    <row r="191" spans="2:5" x14ac:dyDescent="0.2">
      <c r="B191" s="1195" t="s">
        <v>1376</v>
      </c>
      <c r="C191" s="338" t="s">
        <v>807</v>
      </c>
      <c r="D191" s="1195" t="s">
        <v>905</v>
      </c>
      <c r="E191" s="333">
        <v>16500</v>
      </c>
    </row>
    <row r="192" spans="2:5" x14ac:dyDescent="0.2">
      <c r="B192" s="1195" t="s">
        <v>1377</v>
      </c>
      <c r="C192" s="338" t="s">
        <v>808</v>
      </c>
      <c r="D192" s="1195" t="s">
        <v>905</v>
      </c>
      <c r="E192" s="333">
        <v>21000</v>
      </c>
    </row>
    <row r="193" spans="2:5" x14ac:dyDescent="0.2">
      <c r="B193" s="1195" t="s">
        <v>1378</v>
      </c>
      <c r="C193" s="338" t="s">
        <v>809</v>
      </c>
      <c r="D193" s="1195" t="s">
        <v>810</v>
      </c>
      <c r="E193" s="333">
        <v>21000</v>
      </c>
    </row>
    <row r="194" spans="2:5" x14ac:dyDescent="0.2">
      <c r="B194" s="1195" t="s">
        <v>1379</v>
      </c>
      <c r="C194" s="334" t="s">
        <v>811</v>
      </c>
      <c r="D194" s="1418" t="s">
        <v>905</v>
      </c>
      <c r="E194" s="333">
        <v>300</v>
      </c>
    </row>
    <row r="195" spans="2:5" x14ac:dyDescent="0.2">
      <c r="B195" s="1195" t="s">
        <v>1380</v>
      </c>
      <c r="C195" s="334" t="s">
        <v>812</v>
      </c>
      <c r="D195" s="1418" t="s">
        <v>905</v>
      </c>
      <c r="E195" s="333">
        <v>550</v>
      </c>
    </row>
    <row r="196" spans="2:5" x14ac:dyDescent="0.2">
      <c r="B196" s="1195" t="s">
        <v>1381</v>
      </c>
      <c r="C196" s="334" t="s">
        <v>813</v>
      </c>
      <c r="D196" s="1418" t="s">
        <v>936</v>
      </c>
      <c r="E196" s="333">
        <v>7750</v>
      </c>
    </row>
    <row r="197" spans="2:5" x14ac:dyDescent="0.2">
      <c r="B197" s="1195" t="s">
        <v>1382</v>
      </c>
      <c r="C197" s="334" t="s">
        <v>814</v>
      </c>
      <c r="D197" s="1418" t="s">
        <v>1265</v>
      </c>
      <c r="E197" s="333">
        <v>125000</v>
      </c>
    </row>
    <row r="198" spans="2:5" x14ac:dyDescent="0.2">
      <c r="B198" s="1195" t="s">
        <v>1383</v>
      </c>
      <c r="C198" s="334" t="s">
        <v>815</v>
      </c>
      <c r="D198" s="1418" t="s">
        <v>938</v>
      </c>
      <c r="E198" s="333">
        <v>40000</v>
      </c>
    </row>
    <row r="199" spans="2:5" x14ac:dyDescent="0.2">
      <c r="B199" s="1195" t="s">
        <v>1384</v>
      </c>
      <c r="C199" s="334" t="s">
        <v>816</v>
      </c>
      <c r="D199" s="1418" t="s">
        <v>931</v>
      </c>
      <c r="E199" s="333">
        <v>400000</v>
      </c>
    </row>
    <row r="200" spans="2:5" x14ac:dyDescent="0.2">
      <c r="B200" s="1195" t="s">
        <v>1385</v>
      </c>
      <c r="C200" s="334" t="s">
        <v>817</v>
      </c>
      <c r="D200" s="1418" t="s">
        <v>818</v>
      </c>
      <c r="E200" s="333">
        <v>56000</v>
      </c>
    </row>
    <row r="201" spans="2:5" x14ac:dyDescent="0.2">
      <c r="B201" s="1195" t="s">
        <v>2008</v>
      </c>
      <c r="C201" s="334" t="s">
        <v>2009</v>
      </c>
      <c r="D201" s="1418" t="s">
        <v>904</v>
      </c>
      <c r="E201" s="333">
        <v>4800</v>
      </c>
    </row>
    <row r="202" spans="2:5" x14ac:dyDescent="0.2">
      <c r="B202" s="1195" t="s">
        <v>1250</v>
      </c>
      <c r="C202" s="334" t="s">
        <v>1251</v>
      </c>
      <c r="D202" s="1418" t="s">
        <v>905</v>
      </c>
      <c r="E202" s="333">
        <v>3000</v>
      </c>
    </row>
    <row r="203" spans="2:5" x14ac:dyDescent="0.2">
      <c r="B203" s="1195" t="s">
        <v>1252</v>
      </c>
      <c r="C203" s="334" t="s">
        <v>1253</v>
      </c>
      <c r="D203" s="1418" t="s">
        <v>905</v>
      </c>
      <c r="E203" s="333">
        <v>1000</v>
      </c>
    </row>
    <row r="204" spans="2:5" x14ac:dyDescent="0.2">
      <c r="B204" s="1195" t="s">
        <v>1254</v>
      </c>
      <c r="C204" s="334" t="s">
        <v>1255</v>
      </c>
      <c r="D204" s="1418" t="s">
        <v>905</v>
      </c>
      <c r="E204" s="333">
        <v>900</v>
      </c>
    </row>
    <row r="205" spans="2:5" x14ac:dyDescent="0.2">
      <c r="B205" s="1195" t="s">
        <v>1533</v>
      </c>
      <c r="C205" s="334" t="s">
        <v>1534</v>
      </c>
      <c r="D205" s="1418" t="s">
        <v>904</v>
      </c>
      <c r="E205" s="333">
        <v>1650</v>
      </c>
    </row>
    <row r="206" spans="2:5" x14ac:dyDescent="0.2">
      <c r="B206" s="1195" t="s">
        <v>884</v>
      </c>
      <c r="C206" s="334" t="s">
        <v>885</v>
      </c>
      <c r="D206" s="1418" t="s">
        <v>905</v>
      </c>
      <c r="E206" s="333">
        <v>142882</v>
      </c>
    </row>
    <row r="207" spans="2:5" x14ac:dyDescent="0.2">
      <c r="B207" s="1417">
        <v>14</v>
      </c>
      <c r="C207" s="1417" t="s">
        <v>819</v>
      </c>
      <c r="D207" s="1420"/>
      <c r="E207" s="1420"/>
    </row>
    <row r="208" spans="2:5" x14ac:dyDescent="0.2">
      <c r="B208" s="1195" t="s">
        <v>1386</v>
      </c>
      <c r="C208" s="354" t="s">
        <v>2767</v>
      </c>
      <c r="D208" s="1195" t="s">
        <v>938</v>
      </c>
      <c r="E208" s="333">
        <v>352640</v>
      </c>
    </row>
    <row r="209" spans="2:5" x14ac:dyDescent="0.2">
      <c r="B209" s="1195" t="s">
        <v>1387</v>
      </c>
      <c r="C209" s="354" t="s">
        <v>2768</v>
      </c>
      <c r="D209" s="1195" t="s">
        <v>938</v>
      </c>
      <c r="E209" s="333">
        <v>420000</v>
      </c>
    </row>
    <row r="210" spans="2:5" x14ac:dyDescent="0.2">
      <c r="B210" s="1195" t="s">
        <v>0</v>
      </c>
      <c r="C210" s="354" t="s">
        <v>2769</v>
      </c>
      <c r="D210" s="1195" t="s">
        <v>938</v>
      </c>
      <c r="E210" s="333">
        <v>298400</v>
      </c>
    </row>
    <row r="211" spans="2:5" x14ac:dyDescent="0.2">
      <c r="B211" s="1195" t="s">
        <v>1</v>
      </c>
      <c r="C211" s="354" t="s">
        <v>2770</v>
      </c>
      <c r="D211" s="1195" t="s">
        <v>938</v>
      </c>
      <c r="E211" s="333">
        <v>274920</v>
      </c>
    </row>
    <row r="212" spans="2:5" x14ac:dyDescent="0.2">
      <c r="B212" s="1194" t="s">
        <v>2771</v>
      </c>
      <c r="C212" s="354" t="s">
        <v>2772</v>
      </c>
      <c r="D212" s="1195" t="s">
        <v>938</v>
      </c>
      <c r="E212" s="333">
        <v>264920</v>
      </c>
    </row>
    <row r="213" spans="2:5" x14ac:dyDescent="0.2">
      <c r="B213" s="1195" t="s">
        <v>2</v>
      </c>
      <c r="C213" s="1422" t="s">
        <v>820</v>
      </c>
      <c r="D213" s="1195" t="s">
        <v>938</v>
      </c>
      <c r="E213" s="333">
        <v>393857</v>
      </c>
    </row>
    <row r="214" spans="2:5" x14ac:dyDescent="0.2">
      <c r="B214" s="1195" t="s">
        <v>3</v>
      </c>
      <c r="C214" s="334" t="s">
        <v>821</v>
      </c>
      <c r="D214" s="1195" t="s">
        <v>938</v>
      </c>
      <c r="E214" s="333">
        <v>382041</v>
      </c>
    </row>
    <row r="215" spans="2:5" x14ac:dyDescent="0.2">
      <c r="B215" s="1195" t="s">
        <v>4</v>
      </c>
      <c r="C215" s="334" t="s">
        <v>822</v>
      </c>
      <c r="D215" s="1418" t="s">
        <v>938</v>
      </c>
      <c r="E215" s="333">
        <v>201840</v>
      </c>
    </row>
    <row r="216" spans="2:5" x14ac:dyDescent="0.2">
      <c r="B216" s="1195" t="s">
        <v>5</v>
      </c>
      <c r="C216" s="334" t="s">
        <v>1393</v>
      </c>
      <c r="D216" s="1418" t="s">
        <v>938</v>
      </c>
      <c r="E216" s="333">
        <v>195460</v>
      </c>
    </row>
    <row r="217" spans="2:5" x14ac:dyDescent="0.2">
      <c r="B217" s="1417">
        <v>15</v>
      </c>
      <c r="C217" s="1417" t="s">
        <v>1394</v>
      </c>
      <c r="D217" s="1420"/>
      <c r="E217" s="1420"/>
    </row>
    <row r="218" spans="2:5" x14ac:dyDescent="0.2">
      <c r="B218" s="1195" t="s">
        <v>6</v>
      </c>
      <c r="C218" s="338" t="s">
        <v>1395</v>
      </c>
      <c r="D218" s="1195" t="s">
        <v>938</v>
      </c>
      <c r="E218" s="333">
        <f>250000*1.16</f>
        <v>290000</v>
      </c>
    </row>
    <row r="219" spans="2:5" x14ac:dyDescent="0.2">
      <c r="B219" s="1195" t="s">
        <v>7</v>
      </c>
      <c r="C219" s="338" t="s">
        <v>1396</v>
      </c>
      <c r="D219" s="1418" t="s">
        <v>1397</v>
      </c>
      <c r="E219" s="333">
        <f>ROUND(5800*1.16,0)</f>
        <v>6728</v>
      </c>
    </row>
    <row r="220" spans="2:5" x14ac:dyDescent="0.2">
      <c r="B220" s="1417">
        <v>16</v>
      </c>
      <c r="C220" s="1417" t="s">
        <v>1398</v>
      </c>
      <c r="D220" s="1420"/>
      <c r="E220" s="1420"/>
    </row>
    <row r="221" spans="2:5" x14ac:dyDescent="0.2">
      <c r="B221" s="1195" t="s">
        <v>8</v>
      </c>
      <c r="C221" s="338" t="s">
        <v>1399</v>
      </c>
      <c r="D221" s="1195" t="s">
        <v>1265</v>
      </c>
      <c r="E221" s="333">
        <v>24910</v>
      </c>
    </row>
    <row r="222" spans="2:5" x14ac:dyDescent="0.2">
      <c r="B222" s="1195" t="s">
        <v>9</v>
      </c>
      <c r="C222" s="338" t="s">
        <v>1400</v>
      </c>
      <c r="D222" s="1195" t="s">
        <v>904</v>
      </c>
      <c r="E222" s="333">
        <v>32080</v>
      </c>
    </row>
    <row r="223" spans="2:5" x14ac:dyDescent="0.2">
      <c r="B223" s="1195" t="s">
        <v>10</v>
      </c>
      <c r="C223" s="338" t="s">
        <v>1401</v>
      </c>
      <c r="D223" s="1195" t="s">
        <v>904</v>
      </c>
      <c r="E223" s="333">
        <v>41115</v>
      </c>
    </row>
    <row r="224" spans="2:5" x14ac:dyDescent="0.2">
      <c r="B224" s="1195" t="s">
        <v>11</v>
      </c>
      <c r="C224" s="338" t="s">
        <v>1402</v>
      </c>
      <c r="D224" s="1195" t="s">
        <v>905</v>
      </c>
      <c r="E224" s="333">
        <v>43800</v>
      </c>
    </row>
    <row r="225" spans="2:5" x14ac:dyDescent="0.2">
      <c r="B225" s="1195" t="s">
        <v>12</v>
      </c>
      <c r="C225" s="338" t="s">
        <v>1403</v>
      </c>
      <c r="D225" s="1195" t="s">
        <v>905</v>
      </c>
      <c r="E225" s="333">
        <v>43800</v>
      </c>
    </row>
    <row r="226" spans="2:5" x14ac:dyDescent="0.2">
      <c r="B226" s="1417">
        <v>17</v>
      </c>
      <c r="C226" s="1417" t="s">
        <v>1404</v>
      </c>
      <c r="D226" s="1420"/>
      <c r="E226" s="1420"/>
    </row>
    <row r="227" spans="2:5" x14ac:dyDescent="0.2">
      <c r="B227" s="1195" t="s">
        <v>13</v>
      </c>
      <c r="C227" s="338" t="s">
        <v>1405</v>
      </c>
      <c r="D227" s="1195" t="s">
        <v>905</v>
      </c>
      <c r="E227" s="333">
        <v>465351</v>
      </c>
    </row>
    <row r="228" spans="2:5" x14ac:dyDescent="0.2">
      <c r="B228" s="1195" t="s">
        <v>14</v>
      </c>
      <c r="C228" s="338" t="s">
        <v>1406</v>
      </c>
      <c r="D228" s="1195" t="s">
        <v>905</v>
      </c>
      <c r="E228" s="333">
        <v>255200</v>
      </c>
    </row>
    <row r="229" spans="2:5" x14ac:dyDescent="0.2">
      <c r="B229" s="1195" t="s">
        <v>15</v>
      </c>
      <c r="C229" s="338" t="s">
        <v>1407</v>
      </c>
      <c r="D229" s="1195" t="s">
        <v>936</v>
      </c>
      <c r="E229" s="333">
        <v>5000</v>
      </c>
    </row>
    <row r="230" spans="2:5" x14ac:dyDescent="0.2">
      <c r="B230" s="1195" t="s">
        <v>16</v>
      </c>
      <c r="C230" s="338" t="s">
        <v>1408</v>
      </c>
      <c r="D230" s="1195" t="s">
        <v>914</v>
      </c>
      <c r="E230" s="333">
        <f>8000*1.16</f>
        <v>9280</v>
      </c>
    </row>
    <row r="231" spans="2:5" x14ac:dyDescent="0.2">
      <c r="B231" s="1195" t="s">
        <v>17</v>
      </c>
      <c r="C231" s="338" t="s">
        <v>1409</v>
      </c>
      <c r="D231" s="1195" t="s">
        <v>905</v>
      </c>
      <c r="E231" s="333">
        <v>133400</v>
      </c>
    </row>
    <row r="232" spans="2:5" x14ac:dyDescent="0.2">
      <c r="B232" s="1417">
        <v>18</v>
      </c>
      <c r="C232" s="1417" t="s">
        <v>1417</v>
      </c>
      <c r="D232" s="1420"/>
      <c r="E232" s="1420"/>
    </row>
    <row r="233" spans="2:5" x14ac:dyDescent="0.2">
      <c r="B233" s="1195" t="s">
        <v>18</v>
      </c>
      <c r="C233" s="338" t="s">
        <v>1410</v>
      </c>
      <c r="D233" s="1195" t="s">
        <v>1265</v>
      </c>
      <c r="E233" s="333">
        <v>13114</v>
      </c>
    </row>
    <row r="234" spans="2:5" x14ac:dyDescent="0.2">
      <c r="B234" s="1195" t="s">
        <v>19</v>
      </c>
      <c r="C234" s="338" t="s">
        <v>1411</v>
      </c>
      <c r="D234" s="1195" t="s">
        <v>1265</v>
      </c>
      <c r="E234" s="333">
        <v>23368</v>
      </c>
    </row>
    <row r="235" spans="2:5" x14ac:dyDescent="0.2">
      <c r="B235" s="1195" t="s">
        <v>20</v>
      </c>
      <c r="C235" s="338" t="s">
        <v>1412</v>
      </c>
      <c r="D235" s="1195" t="s">
        <v>1265</v>
      </c>
      <c r="E235" s="333">
        <v>34609</v>
      </c>
    </row>
    <row r="236" spans="2:5" x14ac:dyDescent="0.2">
      <c r="B236" s="1195" t="s">
        <v>21</v>
      </c>
      <c r="C236" s="338" t="s">
        <v>1413</v>
      </c>
      <c r="D236" s="1195" t="s">
        <v>1265</v>
      </c>
      <c r="E236" s="333">
        <v>45849</v>
      </c>
    </row>
    <row r="237" spans="2:5" x14ac:dyDescent="0.2">
      <c r="B237" s="1195" t="s">
        <v>22</v>
      </c>
      <c r="C237" s="338" t="s">
        <v>1414</v>
      </c>
      <c r="D237" s="1195" t="s">
        <v>1265</v>
      </c>
      <c r="E237" s="333">
        <v>66456</v>
      </c>
    </row>
    <row r="238" spans="2:5" x14ac:dyDescent="0.2">
      <c r="B238" s="1195" t="s">
        <v>23</v>
      </c>
      <c r="C238" s="338" t="s">
        <v>1415</v>
      </c>
      <c r="D238" s="1195" t="s">
        <v>1265</v>
      </c>
      <c r="E238" s="333">
        <v>82430</v>
      </c>
    </row>
    <row r="239" spans="2:5" x14ac:dyDescent="0.2">
      <c r="B239" s="1195" t="s">
        <v>24</v>
      </c>
      <c r="C239" s="338" t="s">
        <v>1416</v>
      </c>
      <c r="D239" s="1195" t="s">
        <v>1265</v>
      </c>
      <c r="E239" s="333">
        <v>116151</v>
      </c>
    </row>
    <row r="240" spans="2:5" x14ac:dyDescent="0.2">
      <c r="B240" s="1195" t="s">
        <v>25</v>
      </c>
      <c r="C240" s="338" t="s">
        <v>1418</v>
      </c>
      <c r="D240" s="1195" t="s">
        <v>1265</v>
      </c>
      <c r="E240" s="333">
        <v>258697</v>
      </c>
    </row>
    <row r="241" spans="2:5" x14ac:dyDescent="0.2">
      <c r="B241" s="1195" t="s">
        <v>26</v>
      </c>
      <c r="C241" s="338" t="s">
        <v>1419</v>
      </c>
      <c r="D241" s="1195" t="s">
        <v>1265</v>
      </c>
      <c r="E241" s="333">
        <v>302552</v>
      </c>
    </row>
    <row r="242" spans="2:5" x14ac:dyDescent="0.2">
      <c r="B242" s="1417">
        <v>19</v>
      </c>
      <c r="C242" s="1417" t="s">
        <v>27</v>
      </c>
      <c r="D242" s="1420"/>
      <c r="E242" s="1420"/>
    </row>
    <row r="243" spans="2:5" x14ac:dyDescent="0.2">
      <c r="B243" s="1195" t="s">
        <v>1019</v>
      </c>
      <c r="C243" s="338" t="s">
        <v>28</v>
      </c>
      <c r="D243" s="1195" t="s">
        <v>1265</v>
      </c>
      <c r="E243" s="333">
        <v>5331</v>
      </c>
    </row>
    <row r="244" spans="2:5" x14ac:dyDescent="0.2">
      <c r="B244" s="1195" t="s">
        <v>1020</v>
      </c>
      <c r="C244" s="338" t="s">
        <v>29</v>
      </c>
      <c r="D244" s="1195" t="s">
        <v>1265</v>
      </c>
      <c r="E244" s="333">
        <v>5331</v>
      </c>
    </row>
    <row r="245" spans="2:5" x14ac:dyDescent="0.2">
      <c r="B245" s="1195" t="s">
        <v>1021</v>
      </c>
      <c r="C245" s="338" t="s">
        <v>30</v>
      </c>
      <c r="D245" s="1195" t="s">
        <v>1265</v>
      </c>
      <c r="E245" s="333">
        <v>6610</v>
      </c>
    </row>
    <row r="246" spans="2:5" x14ac:dyDescent="0.2">
      <c r="B246" s="1195" t="s">
        <v>1022</v>
      </c>
      <c r="C246" s="338" t="s">
        <v>31</v>
      </c>
      <c r="D246" s="1195" t="s">
        <v>1265</v>
      </c>
      <c r="E246" s="333">
        <v>9873</v>
      </c>
    </row>
    <row r="247" spans="2:5" x14ac:dyDescent="0.2">
      <c r="B247" s="1195" t="s">
        <v>1023</v>
      </c>
      <c r="C247" s="338" t="s">
        <v>32</v>
      </c>
      <c r="D247" s="1195" t="s">
        <v>1265</v>
      </c>
      <c r="E247" s="333">
        <v>13759</v>
      </c>
    </row>
    <row r="248" spans="2:5" x14ac:dyDescent="0.2">
      <c r="B248" s="1195" t="s">
        <v>1024</v>
      </c>
      <c r="C248" s="338" t="s">
        <v>33</v>
      </c>
      <c r="D248" s="1195" t="s">
        <v>1265</v>
      </c>
      <c r="E248" s="333">
        <v>29137</v>
      </c>
    </row>
    <row r="249" spans="2:5" x14ac:dyDescent="0.2">
      <c r="B249" s="1195" t="s">
        <v>1025</v>
      </c>
      <c r="C249" s="338" t="s">
        <v>34</v>
      </c>
      <c r="D249" s="1195" t="s">
        <v>1265</v>
      </c>
      <c r="E249" s="333">
        <v>2939</v>
      </c>
    </row>
    <row r="250" spans="2:5" x14ac:dyDescent="0.2">
      <c r="B250" s="1195" t="s">
        <v>1026</v>
      </c>
      <c r="C250" s="338" t="s">
        <v>35</v>
      </c>
      <c r="D250" s="1195" t="s">
        <v>1265</v>
      </c>
      <c r="E250" s="333">
        <v>4249</v>
      </c>
    </row>
    <row r="251" spans="2:5" x14ac:dyDescent="0.2">
      <c r="B251" s="1195" t="s">
        <v>1027</v>
      </c>
      <c r="C251" s="338" t="s">
        <v>36</v>
      </c>
      <c r="D251" s="1195" t="s">
        <v>1265</v>
      </c>
      <c r="E251" s="333">
        <v>5620</v>
      </c>
    </row>
    <row r="252" spans="2:5" x14ac:dyDescent="0.2">
      <c r="B252" s="1195" t="s">
        <v>1028</v>
      </c>
      <c r="C252" s="338" t="s">
        <v>37</v>
      </c>
      <c r="D252" s="1195" t="s">
        <v>1265</v>
      </c>
      <c r="E252" s="333">
        <v>9692</v>
      </c>
    </row>
    <row r="253" spans="2:5" x14ac:dyDescent="0.2">
      <c r="B253" s="1195" t="s">
        <v>1029</v>
      </c>
      <c r="C253" s="338" t="s">
        <v>61</v>
      </c>
      <c r="D253" s="1195" t="s">
        <v>905</v>
      </c>
      <c r="E253" s="333">
        <v>1540</v>
      </c>
    </row>
    <row r="254" spans="2:5" x14ac:dyDescent="0.2">
      <c r="B254" s="1195" t="s">
        <v>1030</v>
      </c>
      <c r="C254" s="338" t="s">
        <v>62</v>
      </c>
      <c r="D254" s="1195" t="s">
        <v>905</v>
      </c>
      <c r="E254" s="333">
        <v>1540</v>
      </c>
    </row>
    <row r="255" spans="2:5" x14ac:dyDescent="0.2">
      <c r="B255" s="1195" t="s">
        <v>1031</v>
      </c>
      <c r="C255" s="338" t="s">
        <v>63</v>
      </c>
      <c r="D255" s="1195" t="s">
        <v>905</v>
      </c>
      <c r="E255" s="333">
        <v>1684</v>
      </c>
    </row>
    <row r="256" spans="2:5" x14ac:dyDescent="0.2">
      <c r="B256" s="1195" t="s">
        <v>1032</v>
      </c>
      <c r="C256" s="338" t="s">
        <v>64</v>
      </c>
      <c r="D256" s="1195" t="s">
        <v>905</v>
      </c>
      <c r="E256" s="333">
        <v>3901</v>
      </c>
    </row>
    <row r="257" spans="2:5" x14ac:dyDescent="0.2">
      <c r="B257" s="1195" t="s">
        <v>1033</v>
      </c>
      <c r="C257" s="338" t="s">
        <v>65</v>
      </c>
      <c r="D257" s="1195" t="s">
        <v>905</v>
      </c>
      <c r="E257" s="333">
        <v>6722</v>
      </c>
    </row>
    <row r="258" spans="2:5" x14ac:dyDescent="0.2">
      <c r="B258" s="1195" t="s">
        <v>1034</v>
      </c>
      <c r="C258" s="338" t="s">
        <v>66</v>
      </c>
      <c r="D258" s="1195" t="s">
        <v>905</v>
      </c>
      <c r="E258" s="333">
        <v>57415</v>
      </c>
    </row>
    <row r="259" spans="2:5" x14ac:dyDescent="0.2">
      <c r="B259" s="1195" t="s">
        <v>1035</v>
      </c>
      <c r="C259" s="338" t="s">
        <v>67</v>
      </c>
      <c r="D259" s="1195" t="s">
        <v>905</v>
      </c>
      <c r="E259" s="333">
        <v>1661</v>
      </c>
    </row>
    <row r="260" spans="2:5" x14ac:dyDescent="0.2">
      <c r="B260" s="1195" t="s">
        <v>1036</v>
      </c>
      <c r="C260" s="338" t="s">
        <v>68</v>
      </c>
      <c r="D260" s="1195" t="s">
        <v>905</v>
      </c>
      <c r="E260" s="333">
        <v>1661</v>
      </c>
    </row>
    <row r="261" spans="2:5" x14ac:dyDescent="0.2">
      <c r="B261" s="1195" t="s">
        <v>1037</v>
      </c>
      <c r="C261" s="338" t="s">
        <v>69</v>
      </c>
      <c r="D261" s="1195" t="s">
        <v>905</v>
      </c>
      <c r="E261" s="333">
        <v>2016</v>
      </c>
    </row>
    <row r="262" spans="2:5" x14ac:dyDescent="0.2">
      <c r="B262" s="1195" t="s">
        <v>1038</v>
      </c>
      <c r="C262" s="338" t="s">
        <v>70</v>
      </c>
      <c r="D262" s="1195" t="s">
        <v>905</v>
      </c>
      <c r="E262" s="333">
        <v>4333</v>
      </c>
    </row>
    <row r="263" spans="2:5" x14ac:dyDescent="0.2">
      <c r="B263" s="1195" t="s">
        <v>1039</v>
      </c>
      <c r="C263" s="338" t="s">
        <v>71</v>
      </c>
      <c r="D263" s="1195" t="s">
        <v>905</v>
      </c>
      <c r="E263" s="333">
        <v>7562</v>
      </c>
    </row>
    <row r="264" spans="2:5" x14ac:dyDescent="0.2">
      <c r="B264" s="1195" t="s">
        <v>1040</v>
      </c>
      <c r="C264" s="338" t="s">
        <v>72</v>
      </c>
      <c r="D264" s="1195" t="s">
        <v>905</v>
      </c>
      <c r="E264" s="333">
        <v>27752</v>
      </c>
    </row>
    <row r="265" spans="2:5" x14ac:dyDescent="0.2">
      <c r="B265" s="1195" t="s">
        <v>1041</v>
      </c>
      <c r="C265" s="338" t="s">
        <v>38</v>
      </c>
      <c r="D265" s="1195" t="s">
        <v>905</v>
      </c>
      <c r="E265" s="333">
        <v>2997</v>
      </c>
    </row>
    <row r="266" spans="2:5" x14ac:dyDescent="0.2">
      <c r="B266" s="1195" t="s">
        <v>1042</v>
      </c>
      <c r="C266" s="338" t="s">
        <v>39</v>
      </c>
      <c r="D266" s="1195" t="s">
        <v>905</v>
      </c>
      <c r="E266" s="333">
        <v>3436</v>
      </c>
    </row>
    <row r="267" spans="2:5" x14ac:dyDescent="0.2">
      <c r="B267" s="1195" t="s">
        <v>1043</v>
      </c>
      <c r="C267" s="338" t="s">
        <v>40</v>
      </c>
      <c r="D267" s="1195" t="s">
        <v>905</v>
      </c>
      <c r="E267" s="333">
        <v>4312</v>
      </c>
    </row>
    <row r="268" spans="2:5" x14ac:dyDescent="0.2">
      <c r="B268" s="1195" t="s">
        <v>1044</v>
      </c>
      <c r="C268" s="338" t="s">
        <v>41</v>
      </c>
      <c r="D268" s="1195" t="s">
        <v>905</v>
      </c>
      <c r="E268" s="333">
        <v>8902</v>
      </c>
    </row>
    <row r="269" spans="2:5" x14ac:dyDescent="0.2">
      <c r="B269" s="1195" t="s">
        <v>1045</v>
      </c>
      <c r="C269" s="338" t="s">
        <v>42</v>
      </c>
      <c r="D269" s="1195" t="s">
        <v>905</v>
      </c>
      <c r="E269" s="333">
        <v>81585</v>
      </c>
    </row>
    <row r="270" spans="2:5" x14ac:dyDescent="0.2">
      <c r="B270" s="1195" t="s">
        <v>1046</v>
      </c>
      <c r="C270" s="338" t="s">
        <v>44</v>
      </c>
      <c r="D270" s="1195" t="s">
        <v>905</v>
      </c>
      <c r="E270" s="333">
        <v>3154</v>
      </c>
    </row>
    <row r="271" spans="2:5" x14ac:dyDescent="0.2">
      <c r="B271" s="1195" t="s">
        <v>1047</v>
      </c>
      <c r="C271" s="338" t="s">
        <v>43</v>
      </c>
      <c r="D271" s="1195" t="s">
        <v>905</v>
      </c>
      <c r="E271" s="333">
        <v>8278</v>
      </c>
    </row>
    <row r="272" spans="2:5" x14ac:dyDescent="0.2">
      <c r="B272" s="1195" t="s">
        <v>1048</v>
      </c>
      <c r="C272" s="338" t="s">
        <v>45</v>
      </c>
      <c r="D272" s="1195" t="s">
        <v>905</v>
      </c>
      <c r="E272" s="333">
        <v>14306</v>
      </c>
    </row>
    <row r="273" spans="2:5" x14ac:dyDescent="0.2">
      <c r="B273" s="1195" t="s">
        <v>1049</v>
      </c>
      <c r="C273" s="338" t="s">
        <v>46</v>
      </c>
      <c r="D273" s="1195" t="s">
        <v>905</v>
      </c>
      <c r="E273" s="333">
        <v>14306</v>
      </c>
    </row>
    <row r="274" spans="2:5" x14ac:dyDescent="0.2">
      <c r="B274" s="1195" t="s">
        <v>1050</v>
      </c>
      <c r="C274" s="338" t="s">
        <v>47</v>
      </c>
      <c r="D274" s="1195" t="s">
        <v>905</v>
      </c>
      <c r="E274" s="333">
        <v>81585</v>
      </c>
    </row>
    <row r="275" spans="2:5" x14ac:dyDescent="0.2">
      <c r="B275" s="1195" t="s">
        <v>1051</v>
      </c>
      <c r="C275" s="338" t="s">
        <v>48</v>
      </c>
      <c r="D275" s="1195" t="s">
        <v>905</v>
      </c>
      <c r="E275" s="333">
        <v>3680</v>
      </c>
    </row>
    <row r="276" spans="2:5" x14ac:dyDescent="0.2">
      <c r="B276" s="1195" t="s">
        <v>1052</v>
      </c>
      <c r="C276" s="338" t="s">
        <v>49</v>
      </c>
      <c r="D276" s="1195" t="s">
        <v>905</v>
      </c>
      <c r="E276" s="333">
        <v>7557</v>
      </c>
    </row>
    <row r="277" spans="2:5" x14ac:dyDescent="0.2">
      <c r="B277" s="1195" t="s">
        <v>1053</v>
      </c>
      <c r="C277" s="338" t="s">
        <v>50</v>
      </c>
      <c r="D277" s="1195" t="s">
        <v>905</v>
      </c>
      <c r="E277" s="333">
        <v>13031</v>
      </c>
    </row>
    <row r="278" spans="2:5" x14ac:dyDescent="0.2">
      <c r="B278" s="1195" t="s">
        <v>1054</v>
      </c>
      <c r="C278" s="338" t="s">
        <v>51</v>
      </c>
      <c r="D278" s="1195" t="s">
        <v>905</v>
      </c>
      <c r="E278" s="333">
        <v>62227</v>
      </c>
    </row>
    <row r="279" spans="2:5" x14ac:dyDescent="0.2">
      <c r="B279" s="1195" t="s">
        <v>1055</v>
      </c>
      <c r="C279" s="338" t="s">
        <v>52</v>
      </c>
      <c r="D279" s="1195" t="s">
        <v>905</v>
      </c>
      <c r="E279" s="333">
        <v>7495</v>
      </c>
    </row>
    <row r="280" spans="2:5" x14ac:dyDescent="0.2">
      <c r="B280" s="1195" t="s">
        <v>1056</v>
      </c>
      <c r="C280" s="338" t="s">
        <v>53</v>
      </c>
      <c r="D280" s="1195" t="s">
        <v>905</v>
      </c>
      <c r="E280" s="333">
        <v>11745</v>
      </c>
    </row>
    <row r="281" spans="2:5" x14ac:dyDescent="0.2">
      <c r="B281" s="1195" t="s">
        <v>1057</v>
      </c>
      <c r="C281" s="338" t="s">
        <v>54</v>
      </c>
      <c r="D281" s="1195" t="s">
        <v>905</v>
      </c>
      <c r="E281" s="333">
        <v>11745</v>
      </c>
    </row>
    <row r="282" spans="2:5" x14ac:dyDescent="0.2">
      <c r="B282" s="1195" t="s">
        <v>1058</v>
      </c>
      <c r="C282" s="338" t="s">
        <v>55</v>
      </c>
      <c r="D282" s="1195" t="s">
        <v>905</v>
      </c>
      <c r="E282" s="333">
        <v>62227</v>
      </c>
    </row>
    <row r="283" spans="2:5" x14ac:dyDescent="0.2">
      <c r="B283" s="1195" t="s">
        <v>1059</v>
      </c>
      <c r="C283" s="338" t="s">
        <v>56</v>
      </c>
      <c r="D283" s="1195" t="s">
        <v>905</v>
      </c>
      <c r="E283" s="333">
        <v>1187</v>
      </c>
    </row>
    <row r="284" spans="2:5" x14ac:dyDescent="0.2">
      <c r="B284" s="1195" t="s">
        <v>1060</v>
      </c>
      <c r="C284" s="338" t="s">
        <v>57</v>
      </c>
      <c r="D284" s="1195" t="s">
        <v>905</v>
      </c>
      <c r="E284" s="333">
        <v>1358</v>
      </c>
    </row>
    <row r="285" spans="2:5" x14ac:dyDescent="0.2">
      <c r="B285" s="1195" t="s">
        <v>1061</v>
      </c>
      <c r="C285" s="338" t="s">
        <v>58</v>
      </c>
      <c r="D285" s="1195" t="s">
        <v>905</v>
      </c>
      <c r="E285" s="333">
        <v>1960</v>
      </c>
    </row>
    <row r="286" spans="2:5" x14ac:dyDescent="0.2">
      <c r="B286" s="1195" t="s">
        <v>1062</v>
      </c>
      <c r="C286" s="338" t="s">
        <v>59</v>
      </c>
      <c r="D286" s="1195" t="s">
        <v>905</v>
      </c>
      <c r="E286" s="333">
        <v>3916</v>
      </c>
    </row>
    <row r="287" spans="2:5" x14ac:dyDescent="0.2">
      <c r="B287" s="1195" t="s">
        <v>1063</v>
      </c>
      <c r="C287" s="338" t="s">
        <v>60</v>
      </c>
      <c r="D287" s="1195" t="s">
        <v>905</v>
      </c>
      <c r="E287" s="333">
        <v>17167</v>
      </c>
    </row>
    <row r="288" spans="2:5" x14ac:dyDescent="0.2">
      <c r="B288" s="1195" t="s">
        <v>1064</v>
      </c>
      <c r="C288" s="338" t="s">
        <v>73</v>
      </c>
      <c r="D288" s="1195" t="s">
        <v>905</v>
      </c>
      <c r="E288" s="333">
        <v>1318</v>
      </c>
    </row>
    <row r="289" spans="2:5" x14ac:dyDescent="0.2">
      <c r="B289" s="1195" t="s">
        <v>1065</v>
      </c>
      <c r="C289" s="338" t="s">
        <v>74</v>
      </c>
      <c r="D289" s="1195" t="s">
        <v>905</v>
      </c>
      <c r="E289" s="333">
        <v>3032</v>
      </c>
    </row>
    <row r="290" spans="2:5" x14ac:dyDescent="0.2">
      <c r="B290" s="1195" t="s">
        <v>1066</v>
      </c>
      <c r="C290" s="338" t="s">
        <v>1007</v>
      </c>
      <c r="D290" s="1195" t="s">
        <v>905</v>
      </c>
      <c r="E290" s="333">
        <v>2861</v>
      </c>
    </row>
    <row r="291" spans="2:5" x14ac:dyDescent="0.2">
      <c r="B291" s="1195" t="s">
        <v>1067</v>
      </c>
      <c r="C291" s="338" t="s">
        <v>1008</v>
      </c>
      <c r="D291" s="1195" t="s">
        <v>905</v>
      </c>
      <c r="E291" s="333">
        <v>4993</v>
      </c>
    </row>
    <row r="292" spans="2:5" x14ac:dyDescent="0.2">
      <c r="B292" s="1195" t="s">
        <v>1068</v>
      </c>
      <c r="C292" s="338" t="s">
        <v>1009</v>
      </c>
      <c r="D292" s="1195" t="s">
        <v>905</v>
      </c>
      <c r="E292" s="333">
        <v>4993</v>
      </c>
    </row>
    <row r="293" spans="2:5" x14ac:dyDescent="0.2">
      <c r="B293" s="1195" t="s">
        <v>1069</v>
      </c>
      <c r="C293" s="338" t="s">
        <v>1010</v>
      </c>
      <c r="D293" s="1195" t="s">
        <v>905</v>
      </c>
      <c r="E293" s="333">
        <v>18947</v>
      </c>
    </row>
    <row r="294" spans="2:5" x14ac:dyDescent="0.2">
      <c r="B294" s="1195" t="s">
        <v>1070</v>
      </c>
      <c r="C294" s="338" t="s">
        <v>1011</v>
      </c>
      <c r="D294" s="1195" t="s">
        <v>905</v>
      </c>
      <c r="E294" s="333">
        <v>3521</v>
      </c>
    </row>
    <row r="295" spans="2:5" x14ac:dyDescent="0.2">
      <c r="B295" s="1195" t="s">
        <v>1071</v>
      </c>
      <c r="C295" s="338" t="s">
        <v>1012</v>
      </c>
      <c r="D295" s="1195" t="s">
        <v>905</v>
      </c>
      <c r="E295" s="333">
        <v>6948</v>
      </c>
    </row>
    <row r="296" spans="2:5" x14ac:dyDescent="0.2">
      <c r="B296" s="1195" t="s">
        <v>1072</v>
      </c>
      <c r="C296" s="338" t="s">
        <v>1013</v>
      </c>
      <c r="D296" s="1195" t="s">
        <v>905</v>
      </c>
      <c r="E296" s="333">
        <v>10234</v>
      </c>
    </row>
    <row r="297" spans="2:5" x14ac:dyDescent="0.2">
      <c r="B297" s="1195" t="s">
        <v>1073</v>
      </c>
      <c r="C297" s="338" t="s">
        <v>1014</v>
      </c>
      <c r="D297" s="1195" t="s">
        <v>905</v>
      </c>
      <c r="E297" s="333">
        <v>29305</v>
      </c>
    </row>
    <row r="298" spans="2:5" x14ac:dyDescent="0.2">
      <c r="B298" s="1195" t="s">
        <v>1074</v>
      </c>
      <c r="C298" s="338" t="s">
        <v>1015</v>
      </c>
      <c r="D298" s="1195" t="s">
        <v>905</v>
      </c>
      <c r="E298" s="333">
        <v>477</v>
      </c>
    </row>
    <row r="299" spans="2:5" x14ac:dyDescent="0.2">
      <c r="B299" s="1195" t="s">
        <v>1075</v>
      </c>
      <c r="C299" s="338" t="s">
        <v>1016</v>
      </c>
      <c r="D299" s="1195" t="s">
        <v>905</v>
      </c>
      <c r="E299" s="333">
        <v>623</v>
      </c>
    </row>
    <row r="300" spans="2:5" x14ac:dyDescent="0.2">
      <c r="B300" s="1195" t="s">
        <v>1076</v>
      </c>
      <c r="C300" s="338" t="s">
        <v>1017</v>
      </c>
      <c r="D300" s="1195" t="s">
        <v>905</v>
      </c>
      <c r="E300" s="333">
        <v>791</v>
      </c>
    </row>
    <row r="301" spans="2:5" x14ac:dyDescent="0.2">
      <c r="B301" s="1195" t="s">
        <v>1077</v>
      </c>
      <c r="C301" s="338" t="s">
        <v>1018</v>
      </c>
      <c r="D301" s="1195" t="s">
        <v>905</v>
      </c>
      <c r="E301" s="333">
        <v>1557</v>
      </c>
    </row>
    <row r="302" spans="2:5" x14ac:dyDescent="0.2">
      <c r="B302" s="1417">
        <v>20</v>
      </c>
      <c r="C302" s="1417" t="s">
        <v>1078</v>
      </c>
      <c r="D302" s="1420"/>
      <c r="E302" s="1420"/>
    </row>
    <row r="303" spans="2:5" x14ac:dyDescent="0.2">
      <c r="B303" s="1195" t="s">
        <v>1079</v>
      </c>
      <c r="C303" s="354" t="s">
        <v>2738</v>
      </c>
      <c r="D303" s="1195" t="s">
        <v>1265</v>
      </c>
      <c r="E303" s="333">
        <v>10916</v>
      </c>
    </row>
    <row r="304" spans="2:5" x14ac:dyDescent="0.2">
      <c r="B304" s="1195" t="s">
        <v>1080</v>
      </c>
      <c r="C304" s="354" t="s">
        <v>2739</v>
      </c>
      <c r="D304" s="1195" t="s">
        <v>1265</v>
      </c>
      <c r="E304" s="1041">
        <f>ROUND(32983*0.8,0)</f>
        <v>26386</v>
      </c>
    </row>
    <row r="305" spans="2:5" x14ac:dyDescent="0.2">
      <c r="B305" s="1195" t="s">
        <v>1081</v>
      </c>
      <c r="C305" s="354" t="s">
        <v>2740</v>
      </c>
      <c r="D305" s="1195" t="s">
        <v>1265</v>
      </c>
      <c r="E305" s="1041">
        <f>ROUND(45728*0.8,0)</f>
        <v>36582</v>
      </c>
    </row>
    <row r="306" spans="2:5" x14ac:dyDescent="0.2">
      <c r="B306" s="1195" t="s">
        <v>1082</v>
      </c>
      <c r="C306" s="354" t="s">
        <v>2741</v>
      </c>
      <c r="D306" s="1195" t="s">
        <v>1265</v>
      </c>
      <c r="E306" s="1041">
        <f>ROUND(65789*0.8,0)</f>
        <v>52631</v>
      </c>
    </row>
    <row r="307" spans="2:5" x14ac:dyDescent="0.2">
      <c r="B307" s="1195" t="s">
        <v>1083</v>
      </c>
      <c r="C307" s="354" t="s">
        <v>2743</v>
      </c>
      <c r="D307" s="1195" t="s">
        <v>1265</v>
      </c>
      <c r="E307" s="1041">
        <f>ROUND(97271*0.8,0)</f>
        <v>77817</v>
      </c>
    </row>
    <row r="308" spans="2:5" x14ac:dyDescent="0.2">
      <c r="B308" s="1195">
        <v>20.6</v>
      </c>
      <c r="C308" s="354" t="s">
        <v>2744</v>
      </c>
      <c r="D308" s="1195" t="s">
        <v>1265</v>
      </c>
      <c r="E308" s="1041">
        <f>ROUND(113255*0.85,0)</f>
        <v>96267</v>
      </c>
    </row>
    <row r="309" spans="2:5" x14ac:dyDescent="0.2">
      <c r="B309" s="1195" t="s">
        <v>1084</v>
      </c>
      <c r="C309" s="354" t="s">
        <v>2745</v>
      </c>
      <c r="D309" s="1195" t="s">
        <v>1265</v>
      </c>
      <c r="E309" s="1041">
        <f>ROUND(159142,0)</f>
        <v>159142</v>
      </c>
    </row>
    <row r="310" spans="2:5" x14ac:dyDescent="0.2">
      <c r="B310" s="1195" t="s">
        <v>1085</v>
      </c>
      <c r="C310" s="354" t="s">
        <v>2746</v>
      </c>
      <c r="D310" s="1195" t="s">
        <v>1265</v>
      </c>
      <c r="E310" s="1041">
        <f>ROUND(211122*0.85,0)</f>
        <v>179454</v>
      </c>
    </row>
    <row r="311" spans="2:5" x14ac:dyDescent="0.2">
      <c r="B311" s="1195" t="s">
        <v>1086</v>
      </c>
      <c r="C311" s="354" t="s">
        <v>2747</v>
      </c>
      <c r="D311" s="1195" t="s">
        <v>1265</v>
      </c>
      <c r="E311" s="1041">
        <f>ROUND(264428,0)</f>
        <v>264428</v>
      </c>
    </row>
    <row r="312" spans="2:5" x14ac:dyDescent="0.2">
      <c r="B312" s="1195">
        <v>20.440000000000001</v>
      </c>
      <c r="C312" s="354" t="s">
        <v>2748</v>
      </c>
      <c r="D312" s="1195" t="s">
        <v>1265</v>
      </c>
      <c r="E312" s="1041">
        <f>ROUND(397749*0.85,0)</f>
        <v>338087</v>
      </c>
    </row>
    <row r="313" spans="2:5" x14ac:dyDescent="0.2">
      <c r="B313" s="1195"/>
      <c r="C313" s="354"/>
      <c r="D313" s="1195"/>
      <c r="E313" s="1041"/>
    </row>
    <row r="314" spans="2:5" x14ac:dyDescent="0.2">
      <c r="B314" s="1195" t="s">
        <v>1088</v>
      </c>
      <c r="C314" s="338" t="s">
        <v>1087</v>
      </c>
      <c r="D314" s="1195" t="s">
        <v>905</v>
      </c>
      <c r="E314" s="333">
        <v>187000</v>
      </c>
    </row>
    <row r="315" spans="2:5" x14ac:dyDescent="0.2">
      <c r="B315" s="1195" t="s">
        <v>1090</v>
      </c>
      <c r="C315" s="338" t="s">
        <v>1089</v>
      </c>
      <c r="D315" s="1195" t="s">
        <v>905</v>
      </c>
      <c r="E315" s="333">
        <v>57584</v>
      </c>
    </row>
    <row r="316" spans="2:5" x14ac:dyDescent="0.2">
      <c r="B316" s="1195" t="s">
        <v>1092</v>
      </c>
      <c r="C316" s="338" t="s">
        <v>1091</v>
      </c>
      <c r="D316" s="1195" t="s">
        <v>905</v>
      </c>
      <c r="E316" s="1041">
        <v>68551</v>
      </c>
    </row>
    <row r="317" spans="2:5" x14ac:dyDescent="0.2">
      <c r="B317" s="1195" t="s">
        <v>1094</v>
      </c>
      <c r="C317" s="338" t="s">
        <v>1093</v>
      </c>
      <c r="D317" s="1195" t="s">
        <v>905</v>
      </c>
      <c r="E317" s="333">
        <v>121860</v>
      </c>
    </row>
    <row r="318" spans="2:5" x14ac:dyDescent="0.2">
      <c r="B318" s="1195" t="s">
        <v>1096</v>
      </c>
      <c r="C318" s="338" t="s">
        <v>1095</v>
      </c>
      <c r="D318" s="1195" t="s">
        <v>905</v>
      </c>
      <c r="E318" s="1041">
        <f>ROUND(207952*0.8,0)</f>
        <v>166362</v>
      </c>
    </row>
    <row r="319" spans="2:5" x14ac:dyDescent="0.2">
      <c r="B319" s="1195" t="s">
        <v>1098</v>
      </c>
      <c r="C319" s="338" t="s">
        <v>1097</v>
      </c>
      <c r="D319" s="1195" t="s">
        <v>905</v>
      </c>
      <c r="E319" s="333">
        <v>182547</v>
      </c>
    </row>
    <row r="320" spans="2:5" x14ac:dyDescent="0.2">
      <c r="B320" s="1195" t="s">
        <v>1100</v>
      </c>
      <c r="C320" s="338" t="s">
        <v>1099</v>
      </c>
      <c r="D320" s="1195" t="s">
        <v>905</v>
      </c>
      <c r="E320" s="1041">
        <f>ROUND(215224*0.8,0)</f>
        <v>172179</v>
      </c>
    </row>
    <row r="321" spans="1:8" x14ac:dyDescent="0.2">
      <c r="B321" s="1195" t="s">
        <v>1102</v>
      </c>
      <c r="C321" s="338" t="s">
        <v>1101</v>
      </c>
      <c r="D321" s="1195" t="s">
        <v>905</v>
      </c>
      <c r="E321" s="333">
        <v>142020</v>
      </c>
    </row>
    <row r="322" spans="1:8" x14ac:dyDescent="0.2">
      <c r="B322" s="1195" t="s">
        <v>1104</v>
      </c>
      <c r="C322" s="338" t="s">
        <v>1103</v>
      </c>
      <c r="D322" s="1195" t="s">
        <v>905</v>
      </c>
      <c r="E322" s="333">
        <v>116657</v>
      </c>
    </row>
    <row r="323" spans="1:8" x14ac:dyDescent="0.2">
      <c r="B323" s="1195">
        <v>20.190000000000001</v>
      </c>
      <c r="C323" s="338" t="s">
        <v>1105</v>
      </c>
      <c r="D323" s="1195" t="s">
        <v>905</v>
      </c>
      <c r="E323" s="1041">
        <f>ROUND(227904*0.8,0)</f>
        <v>182323</v>
      </c>
    </row>
    <row r="324" spans="1:8" x14ac:dyDescent="0.2">
      <c r="B324" s="1195" t="s">
        <v>1107</v>
      </c>
      <c r="C324" s="338" t="s">
        <v>1106</v>
      </c>
      <c r="D324" s="1195" t="s">
        <v>905</v>
      </c>
      <c r="E324" s="333">
        <v>142020</v>
      </c>
    </row>
    <row r="325" spans="1:8" x14ac:dyDescent="0.2">
      <c r="B325" s="1195" t="s">
        <v>1109</v>
      </c>
      <c r="C325" s="338" t="s">
        <v>1108</v>
      </c>
      <c r="D325" s="1195" t="s">
        <v>905</v>
      </c>
      <c r="E325" s="333">
        <v>109814</v>
      </c>
    </row>
    <row r="326" spans="1:8" x14ac:dyDescent="0.2">
      <c r="B326" s="1195" t="s">
        <v>1111</v>
      </c>
      <c r="C326" s="338" t="s">
        <v>1110</v>
      </c>
      <c r="D326" s="1195" t="s">
        <v>905</v>
      </c>
      <c r="E326" s="1041">
        <f>ROUND(249888*0.8,0)</f>
        <v>199910</v>
      </c>
    </row>
    <row r="327" spans="1:8" x14ac:dyDescent="0.2">
      <c r="B327" s="1195" t="s">
        <v>1113</v>
      </c>
      <c r="C327" s="338" t="s">
        <v>1112</v>
      </c>
      <c r="D327" s="1195" t="s">
        <v>905</v>
      </c>
      <c r="E327" s="333">
        <v>154200</v>
      </c>
    </row>
    <row r="328" spans="1:8" x14ac:dyDescent="0.2">
      <c r="B328" s="1195" t="s">
        <v>1115</v>
      </c>
      <c r="C328" s="338" t="s">
        <v>1114</v>
      </c>
      <c r="D328" s="1195" t="s">
        <v>905</v>
      </c>
      <c r="E328" s="333">
        <v>240285</v>
      </c>
    </row>
    <row r="329" spans="1:8" x14ac:dyDescent="0.2">
      <c r="B329" s="1195">
        <v>20.25</v>
      </c>
      <c r="C329" s="338" t="s">
        <v>1116</v>
      </c>
      <c r="D329" s="1195" t="s">
        <v>905</v>
      </c>
      <c r="E329" s="1041">
        <f>ROUND(267286*0.8,0)</f>
        <v>213829</v>
      </c>
    </row>
    <row r="330" spans="1:8" x14ac:dyDescent="0.2">
      <c r="B330" s="1195" t="s">
        <v>1117</v>
      </c>
      <c r="C330" s="338" t="s">
        <v>1118</v>
      </c>
      <c r="D330" s="1195" t="s">
        <v>905</v>
      </c>
      <c r="E330" s="333">
        <v>257724</v>
      </c>
    </row>
    <row r="331" spans="1:8" x14ac:dyDescent="0.2">
      <c r="B331" s="1195" t="s">
        <v>1119</v>
      </c>
      <c r="C331" s="338" t="s">
        <v>1120</v>
      </c>
      <c r="D331" s="1195" t="s">
        <v>905</v>
      </c>
      <c r="E331" s="1041">
        <f>ROUND(407749*0.8,0)</f>
        <v>326199</v>
      </c>
    </row>
    <row r="332" spans="1:8" x14ac:dyDescent="0.2">
      <c r="B332" s="1195" t="s">
        <v>1121</v>
      </c>
      <c r="C332" s="338" t="s">
        <v>1122</v>
      </c>
      <c r="D332" s="1195" t="s">
        <v>905</v>
      </c>
      <c r="E332" s="333">
        <v>257724</v>
      </c>
    </row>
    <row r="333" spans="1:8" s="474" customFormat="1" x14ac:dyDescent="0.2">
      <c r="A333" s="123"/>
      <c r="B333" s="761" t="s">
        <v>2455</v>
      </c>
      <c r="C333" s="546" t="s">
        <v>2456</v>
      </c>
      <c r="D333" s="761" t="s">
        <v>905</v>
      </c>
      <c r="E333" s="1430">
        <f>ROUND(381291*0.8,0)</f>
        <v>305033</v>
      </c>
      <c r="F333" s="131"/>
      <c r="G333" s="518"/>
    </row>
    <row r="334" spans="1:8" s="474" customFormat="1" x14ac:dyDescent="0.2">
      <c r="A334" s="123"/>
      <c r="B334" s="761" t="s">
        <v>2401</v>
      </c>
      <c r="C334" s="546" t="s">
        <v>2457</v>
      </c>
      <c r="D334" s="761" t="s">
        <v>905</v>
      </c>
      <c r="E334" s="1430">
        <f>ROUND(436968*0.9,0)</f>
        <v>393271</v>
      </c>
      <c r="F334" s="131"/>
      <c r="G334" s="518"/>
    </row>
    <row r="335" spans="1:8" s="474" customFormat="1" x14ac:dyDescent="0.2">
      <c r="A335" s="123"/>
      <c r="B335" s="761" t="s">
        <v>2458</v>
      </c>
      <c r="C335" s="546" t="s">
        <v>2774</v>
      </c>
      <c r="D335" s="761" t="s">
        <v>905</v>
      </c>
      <c r="E335" s="1430">
        <f>ROUND(550454*0.85,0)</f>
        <v>467886</v>
      </c>
      <c r="F335" s="131"/>
      <c r="G335" s="518"/>
      <c r="H335" s="522"/>
    </row>
    <row r="336" spans="1:8" x14ac:dyDescent="0.2">
      <c r="B336" s="1195" t="s">
        <v>1123</v>
      </c>
      <c r="C336" s="338" t="s">
        <v>1124</v>
      </c>
      <c r="D336" s="1195" t="s">
        <v>905</v>
      </c>
      <c r="E336" s="333">
        <v>35259</v>
      </c>
    </row>
    <row r="337" spans="2:5" x14ac:dyDescent="0.2">
      <c r="B337" s="1195" t="s">
        <v>1125</v>
      </c>
      <c r="C337" s="354" t="s">
        <v>2742</v>
      </c>
      <c r="D337" s="1195" t="s">
        <v>905</v>
      </c>
      <c r="E337" s="1041">
        <v>32143</v>
      </c>
    </row>
    <row r="338" spans="2:5" x14ac:dyDescent="0.2">
      <c r="B338" s="1195" t="s">
        <v>1126</v>
      </c>
      <c r="C338" s="338" t="s">
        <v>732</v>
      </c>
      <c r="D338" s="1195" t="s">
        <v>905</v>
      </c>
      <c r="E338" s="333">
        <v>56625</v>
      </c>
    </row>
    <row r="339" spans="2:5" x14ac:dyDescent="0.2">
      <c r="B339" s="1195" t="s">
        <v>733</v>
      </c>
      <c r="C339" s="338" t="s">
        <v>734</v>
      </c>
      <c r="D339" s="1195" t="s">
        <v>905</v>
      </c>
      <c r="E339" s="333">
        <v>1464</v>
      </c>
    </row>
    <row r="340" spans="2:5" x14ac:dyDescent="0.2">
      <c r="B340" s="1195" t="s">
        <v>735</v>
      </c>
      <c r="C340" s="338" t="s">
        <v>736</v>
      </c>
      <c r="D340" s="1195" t="s">
        <v>905</v>
      </c>
      <c r="E340" s="333">
        <v>2377</v>
      </c>
    </row>
    <row r="341" spans="2:5" x14ac:dyDescent="0.2">
      <c r="B341" s="1195" t="s">
        <v>737</v>
      </c>
      <c r="C341" s="338" t="s">
        <v>738</v>
      </c>
      <c r="D341" s="1195" t="s">
        <v>905</v>
      </c>
      <c r="E341" s="333">
        <v>4297</v>
      </c>
    </row>
    <row r="342" spans="2:5" x14ac:dyDescent="0.2">
      <c r="B342" s="1195" t="s">
        <v>739</v>
      </c>
      <c r="C342" s="338" t="s">
        <v>740</v>
      </c>
      <c r="D342" s="1195" t="s">
        <v>905</v>
      </c>
      <c r="E342" s="333">
        <v>7505</v>
      </c>
    </row>
    <row r="343" spans="2:5" x14ac:dyDescent="0.2">
      <c r="B343" s="1195" t="s">
        <v>741</v>
      </c>
      <c r="C343" s="338" t="s">
        <v>742</v>
      </c>
      <c r="D343" s="1195" t="s">
        <v>905</v>
      </c>
      <c r="E343" s="333">
        <v>15740</v>
      </c>
    </row>
    <row r="344" spans="2:5" x14ac:dyDescent="0.2">
      <c r="B344" s="1195" t="s">
        <v>743</v>
      </c>
      <c r="C344" s="338" t="s">
        <v>744</v>
      </c>
      <c r="D344" s="1195" t="s">
        <v>905</v>
      </c>
      <c r="E344" s="333">
        <v>17655</v>
      </c>
    </row>
    <row r="345" spans="2:5" x14ac:dyDescent="0.2">
      <c r="B345" s="1195" t="s">
        <v>745</v>
      </c>
      <c r="C345" s="338" t="s">
        <v>746</v>
      </c>
      <c r="D345" s="1195" t="s">
        <v>905</v>
      </c>
      <c r="E345" s="333">
        <v>32054</v>
      </c>
    </row>
    <row r="346" spans="2:5" x14ac:dyDescent="0.2">
      <c r="B346" s="1195" t="s">
        <v>747</v>
      </c>
      <c r="C346" s="338" t="s">
        <v>748</v>
      </c>
      <c r="D346" s="1195" t="s">
        <v>905</v>
      </c>
      <c r="E346" s="333">
        <v>46334</v>
      </c>
    </row>
    <row r="347" spans="2:5" x14ac:dyDescent="0.2">
      <c r="B347" s="1195" t="s">
        <v>749</v>
      </c>
      <c r="C347" s="338" t="s">
        <v>750</v>
      </c>
      <c r="D347" s="1195" t="s">
        <v>905</v>
      </c>
      <c r="E347" s="333">
        <v>52125</v>
      </c>
    </row>
    <row r="348" spans="2:5" x14ac:dyDescent="0.2">
      <c r="B348" s="1195" t="s">
        <v>751</v>
      </c>
      <c r="C348" s="338" t="s">
        <v>752</v>
      </c>
      <c r="D348" s="1195" t="s">
        <v>905</v>
      </c>
      <c r="E348" s="333">
        <v>14579</v>
      </c>
    </row>
    <row r="349" spans="2:5" x14ac:dyDescent="0.2">
      <c r="B349" s="1195" t="s">
        <v>753</v>
      </c>
      <c r="C349" s="338" t="s">
        <v>754</v>
      </c>
      <c r="D349" s="1195" t="s">
        <v>905</v>
      </c>
      <c r="E349" s="333">
        <v>28044</v>
      </c>
    </row>
    <row r="350" spans="2:5" x14ac:dyDescent="0.2">
      <c r="B350" s="1195" t="s">
        <v>755</v>
      </c>
      <c r="C350" s="338" t="s">
        <v>756</v>
      </c>
      <c r="D350" s="1195" t="s">
        <v>905</v>
      </c>
      <c r="E350" s="333">
        <v>41660</v>
      </c>
    </row>
    <row r="351" spans="2:5" x14ac:dyDescent="0.2">
      <c r="B351" s="1417">
        <v>21</v>
      </c>
      <c r="C351" s="1417" t="s">
        <v>757</v>
      </c>
      <c r="D351" s="1420"/>
      <c r="E351" s="1420"/>
    </row>
    <row r="352" spans="2:5" x14ac:dyDescent="0.2">
      <c r="B352" s="1195" t="s">
        <v>758</v>
      </c>
      <c r="C352" s="354" t="s">
        <v>2752</v>
      </c>
      <c r="D352" s="1418" t="s">
        <v>1265</v>
      </c>
      <c r="E352" s="1421">
        <v>189481</v>
      </c>
    </row>
    <row r="353" spans="2:5" x14ac:dyDescent="0.2">
      <c r="B353" s="1195" t="s">
        <v>767</v>
      </c>
      <c r="C353" s="354" t="s">
        <v>2751</v>
      </c>
      <c r="D353" s="1418" t="s">
        <v>1265</v>
      </c>
      <c r="E353" s="1431">
        <v>379614</v>
      </c>
    </row>
    <row r="354" spans="2:5" x14ac:dyDescent="0.2">
      <c r="B354" s="1195" t="s">
        <v>768</v>
      </c>
      <c r="C354" s="334" t="s">
        <v>759</v>
      </c>
      <c r="D354" s="1418" t="s">
        <v>1265</v>
      </c>
      <c r="E354" s="1421">
        <v>322066</v>
      </c>
    </row>
    <row r="355" spans="2:5" x14ac:dyDescent="0.2">
      <c r="B355" s="1195" t="s">
        <v>769</v>
      </c>
      <c r="C355" s="334" t="s">
        <v>760</v>
      </c>
      <c r="D355" s="1418" t="s">
        <v>1265</v>
      </c>
      <c r="E355" s="1421">
        <v>363655</v>
      </c>
    </row>
    <row r="356" spans="2:5" x14ac:dyDescent="0.2">
      <c r="B356" s="1195" t="s">
        <v>770</v>
      </c>
      <c r="C356" s="354" t="s">
        <v>2753</v>
      </c>
      <c r="D356" s="1418" t="s">
        <v>1265</v>
      </c>
      <c r="E356" s="1432">
        <v>821200</v>
      </c>
    </row>
    <row r="357" spans="2:5" x14ac:dyDescent="0.2">
      <c r="B357" s="1195" t="s">
        <v>771</v>
      </c>
      <c r="C357" s="334" t="s">
        <v>761</v>
      </c>
      <c r="D357" s="1418" t="s">
        <v>1265</v>
      </c>
      <c r="E357" s="1421">
        <v>680014</v>
      </c>
    </row>
    <row r="358" spans="2:5" x14ac:dyDescent="0.2">
      <c r="B358" s="1195" t="s">
        <v>772</v>
      </c>
      <c r="C358" s="334" t="s">
        <v>762</v>
      </c>
      <c r="D358" s="1418" t="s">
        <v>1265</v>
      </c>
      <c r="E358" s="1421">
        <v>739926</v>
      </c>
    </row>
    <row r="359" spans="2:5" x14ac:dyDescent="0.2">
      <c r="B359" s="1195" t="s">
        <v>773</v>
      </c>
      <c r="C359" s="334" t="s">
        <v>763</v>
      </c>
      <c r="D359" s="1418" t="s">
        <v>1265</v>
      </c>
      <c r="E359" s="1421">
        <v>792650</v>
      </c>
    </row>
    <row r="360" spans="2:5" x14ac:dyDescent="0.2">
      <c r="B360" s="1195" t="s">
        <v>774</v>
      </c>
      <c r="C360" s="334" t="s">
        <v>764</v>
      </c>
      <c r="D360" s="1418" t="s">
        <v>1265</v>
      </c>
      <c r="E360" s="1421">
        <v>1131606</v>
      </c>
    </row>
    <row r="361" spans="2:5" x14ac:dyDescent="0.2">
      <c r="B361" s="1195" t="s">
        <v>775</v>
      </c>
      <c r="C361" s="334" t="s">
        <v>765</v>
      </c>
      <c r="D361" s="1418" t="s">
        <v>1265</v>
      </c>
      <c r="E361" s="1421">
        <v>1274565</v>
      </c>
    </row>
    <row r="362" spans="2:5" x14ac:dyDescent="0.2">
      <c r="B362" s="1195" t="s">
        <v>776</v>
      </c>
      <c r="C362" s="334" t="s">
        <v>766</v>
      </c>
      <c r="D362" s="1418" t="s">
        <v>1265</v>
      </c>
      <c r="E362" s="1421">
        <v>1364082</v>
      </c>
    </row>
    <row r="363" spans="2:5" x14ac:dyDescent="0.2">
      <c r="B363" s="1195" t="s">
        <v>788</v>
      </c>
      <c r="C363" s="334" t="s">
        <v>777</v>
      </c>
      <c r="D363" s="1418" t="s">
        <v>1265</v>
      </c>
      <c r="E363" s="1421">
        <v>135646</v>
      </c>
    </row>
    <row r="364" spans="2:5" x14ac:dyDescent="0.2">
      <c r="B364" s="1195" t="s">
        <v>789</v>
      </c>
      <c r="C364" s="334" t="s">
        <v>778</v>
      </c>
      <c r="D364" s="1418" t="s">
        <v>1265</v>
      </c>
      <c r="E364" s="1421">
        <v>184247</v>
      </c>
    </row>
    <row r="365" spans="2:5" x14ac:dyDescent="0.2">
      <c r="B365" s="1195" t="s">
        <v>790</v>
      </c>
      <c r="C365" s="334" t="s">
        <v>779</v>
      </c>
      <c r="D365" s="1418" t="s">
        <v>1265</v>
      </c>
      <c r="E365" s="1421">
        <v>203610</v>
      </c>
    </row>
    <row r="366" spans="2:5" x14ac:dyDescent="0.2">
      <c r="B366" s="1195" t="s">
        <v>791</v>
      </c>
      <c r="C366" s="334" t="s">
        <v>780</v>
      </c>
      <c r="D366" s="1418" t="s">
        <v>1265</v>
      </c>
      <c r="E366" s="1421">
        <v>264380</v>
      </c>
    </row>
    <row r="367" spans="2:5" x14ac:dyDescent="0.2">
      <c r="B367" s="1195" t="s">
        <v>792</v>
      </c>
      <c r="C367" s="334" t="s">
        <v>781</v>
      </c>
      <c r="D367" s="1418" t="s">
        <v>1265</v>
      </c>
      <c r="E367" s="1421">
        <v>443321</v>
      </c>
    </row>
    <row r="368" spans="2:5" x14ac:dyDescent="0.2">
      <c r="B368" s="1195" t="s">
        <v>793</v>
      </c>
      <c r="C368" s="334" t="s">
        <v>782</v>
      </c>
      <c r="D368" s="1418" t="s">
        <v>1265</v>
      </c>
      <c r="E368" s="1421">
        <v>478037</v>
      </c>
    </row>
    <row r="369" spans="2:5" x14ac:dyDescent="0.2">
      <c r="B369" s="1195" t="s">
        <v>794</v>
      </c>
      <c r="C369" s="334" t="s">
        <v>783</v>
      </c>
      <c r="D369" s="1418" t="s">
        <v>1265</v>
      </c>
      <c r="E369" s="1421">
        <v>513061</v>
      </c>
    </row>
    <row r="370" spans="2:5" x14ac:dyDescent="0.2">
      <c r="B370" s="1195" t="s">
        <v>795</v>
      </c>
      <c r="C370" s="334" t="s">
        <v>784</v>
      </c>
      <c r="D370" s="1418" t="s">
        <v>1265</v>
      </c>
      <c r="E370" s="1421">
        <v>528453</v>
      </c>
    </row>
    <row r="371" spans="2:5" x14ac:dyDescent="0.2">
      <c r="B371" s="1195" t="s">
        <v>796</v>
      </c>
      <c r="C371" s="334" t="s">
        <v>785</v>
      </c>
      <c r="D371" s="1418" t="s">
        <v>1265</v>
      </c>
      <c r="E371" s="1421">
        <v>544307</v>
      </c>
    </row>
    <row r="372" spans="2:5" x14ac:dyDescent="0.2">
      <c r="B372" s="1195" t="s">
        <v>797</v>
      </c>
      <c r="C372" s="334" t="s">
        <v>786</v>
      </c>
      <c r="D372" s="1418" t="s">
        <v>1265</v>
      </c>
      <c r="E372" s="1421">
        <v>598104</v>
      </c>
    </row>
    <row r="373" spans="2:5" x14ac:dyDescent="0.2">
      <c r="B373" s="1195" t="s">
        <v>798</v>
      </c>
      <c r="C373" s="334" t="s">
        <v>787</v>
      </c>
      <c r="D373" s="1418" t="s">
        <v>1265</v>
      </c>
      <c r="E373" s="1421">
        <v>604185</v>
      </c>
    </row>
    <row r="374" spans="2:5" x14ac:dyDescent="0.2">
      <c r="B374" s="1195" t="s">
        <v>513</v>
      </c>
      <c r="C374" s="334" t="s">
        <v>875</v>
      </c>
      <c r="D374" s="1418" t="s">
        <v>1265</v>
      </c>
      <c r="E374" s="1421">
        <v>54095</v>
      </c>
    </row>
    <row r="375" spans="2:5" x14ac:dyDescent="0.2">
      <c r="B375" s="1195" t="s">
        <v>514</v>
      </c>
      <c r="C375" s="334" t="s">
        <v>876</v>
      </c>
      <c r="D375" s="1418" t="s">
        <v>1265</v>
      </c>
      <c r="E375" s="1421">
        <v>58846</v>
      </c>
    </row>
    <row r="376" spans="2:5" x14ac:dyDescent="0.2">
      <c r="B376" s="1195" t="s">
        <v>515</v>
      </c>
      <c r="C376" s="334" t="s">
        <v>877</v>
      </c>
      <c r="D376" s="1418" t="s">
        <v>1265</v>
      </c>
      <c r="E376" s="1421">
        <v>64868</v>
      </c>
    </row>
    <row r="377" spans="2:5" x14ac:dyDescent="0.2">
      <c r="B377" s="1195" t="s">
        <v>516</v>
      </c>
      <c r="C377" s="334" t="s">
        <v>878</v>
      </c>
      <c r="D377" s="1418" t="s">
        <v>1265</v>
      </c>
      <c r="E377" s="1421">
        <v>69327</v>
      </c>
    </row>
    <row r="378" spans="2:5" x14ac:dyDescent="0.2">
      <c r="B378" s="1195" t="s">
        <v>517</v>
      </c>
      <c r="C378" s="334" t="s">
        <v>879</v>
      </c>
      <c r="D378" s="1418" t="s">
        <v>1265</v>
      </c>
      <c r="E378" s="1421">
        <v>78075</v>
      </c>
    </row>
    <row r="379" spans="2:5" x14ac:dyDescent="0.2">
      <c r="B379" s="119" t="s">
        <v>518</v>
      </c>
      <c r="C379" s="120" t="s">
        <v>880</v>
      </c>
      <c r="D379" s="129" t="s">
        <v>1265</v>
      </c>
      <c r="E379" s="136">
        <v>84040</v>
      </c>
    </row>
    <row r="380" spans="2:5" x14ac:dyDescent="0.2">
      <c r="B380" s="119" t="s">
        <v>519</v>
      </c>
      <c r="C380" s="120" t="s">
        <v>881</v>
      </c>
      <c r="D380" s="129" t="s">
        <v>1265</v>
      </c>
      <c r="E380" s="136">
        <v>94070</v>
      </c>
    </row>
    <row r="381" spans="2:5" x14ac:dyDescent="0.2">
      <c r="B381" s="119" t="s">
        <v>520</v>
      </c>
      <c r="C381" s="120" t="s">
        <v>510</v>
      </c>
      <c r="D381" s="129" t="s">
        <v>1265</v>
      </c>
      <c r="E381" s="136">
        <v>97572</v>
      </c>
    </row>
    <row r="382" spans="2:5" x14ac:dyDescent="0.2">
      <c r="B382" s="119" t="s">
        <v>521</v>
      </c>
      <c r="C382" s="120" t="s">
        <v>511</v>
      </c>
      <c r="D382" s="129" t="s">
        <v>1265</v>
      </c>
      <c r="E382" s="136">
        <v>97572</v>
      </c>
    </row>
    <row r="383" spans="2:5" x14ac:dyDescent="0.2">
      <c r="B383" s="119" t="s">
        <v>522</v>
      </c>
      <c r="C383" s="120" t="s">
        <v>512</v>
      </c>
      <c r="D383" s="129" t="s">
        <v>1265</v>
      </c>
      <c r="E383" s="136">
        <v>108604</v>
      </c>
    </row>
    <row r="384" spans="2:5" x14ac:dyDescent="0.2">
      <c r="B384" s="119" t="s">
        <v>522</v>
      </c>
      <c r="C384" s="120" t="s">
        <v>523</v>
      </c>
      <c r="D384" s="121" t="s">
        <v>905</v>
      </c>
      <c r="E384" s="136">
        <v>1327</v>
      </c>
    </row>
    <row r="385" spans="2:6" x14ac:dyDescent="0.2">
      <c r="B385" s="119" t="s">
        <v>524</v>
      </c>
      <c r="C385" s="120" t="s">
        <v>525</v>
      </c>
      <c r="D385" s="121" t="s">
        <v>936</v>
      </c>
      <c r="E385" s="136">
        <v>81880</v>
      </c>
    </row>
    <row r="386" spans="2:6" x14ac:dyDescent="0.2">
      <c r="B386" s="119" t="s">
        <v>526</v>
      </c>
      <c r="C386" s="122" t="s">
        <v>527</v>
      </c>
      <c r="D386" s="121" t="s">
        <v>905</v>
      </c>
      <c r="E386" s="136">
        <v>8524</v>
      </c>
    </row>
    <row r="387" spans="2:6" x14ac:dyDescent="0.2">
      <c r="B387" s="119" t="s">
        <v>528</v>
      </c>
      <c r="C387" s="122" t="s">
        <v>529</v>
      </c>
      <c r="D387" s="121" t="s">
        <v>905</v>
      </c>
      <c r="E387" s="136">
        <v>16798</v>
      </c>
    </row>
    <row r="388" spans="2:6" x14ac:dyDescent="0.2">
      <c r="B388" s="119" t="s">
        <v>531</v>
      </c>
      <c r="C388" s="122" t="s">
        <v>530</v>
      </c>
      <c r="D388" s="121" t="s">
        <v>905</v>
      </c>
      <c r="E388" s="136">
        <v>32673</v>
      </c>
    </row>
    <row r="389" spans="2:6" x14ac:dyDescent="0.2">
      <c r="B389" s="119" t="s">
        <v>532</v>
      </c>
      <c r="C389" s="122" t="s">
        <v>533</v>
      </c>
      <c r="D389" s="121" t="s">
        <v>905</v>
      </c>
      <c r="E389" s="136">
        <v>254931</v>
      </c>
    </row>
    <row r="390" spans="2:6" x14ac:dyDescent="0.2">
      <c r="B390" s="119" t="s">
        <v>534</v>
      </c>
      <c r="C390" s="122" t="s">
        <v>535</v>
      </c>
      <c r="D390" s="121" t="s">
        <v>905</v>
      </c>
      <c r="E390" s="136">
        <v>278662</v>
      </c>
    </row>
    <row r="391" spans="2:6" x14ac:dyDescent="0.2">
      <c r="B391" s="119" t="s">
        <v>536</v>
      </c>
      <c r="C391" s="122" t="s">
        <v>537</v>
      </c>
      <c r="D391" s="121" t="s">
        <v>905</v>
      </c>
      <c r="E391" s="136">
        <v>282520</v>
      </c>
    </row>
    <row r="392" spans="2:6" x14ac:dyDescent="0.2">
      <c r="B392" s="119" t="s">
        <v>538</v>
      </c>
      <c r="C392" s="122" t="s">
        <v>539</v>
      </c>
      <c r="D392" s="121" t="s">
        <v>905</v>
      </c>
      <c r="E392" s="136">
        <v>284246</v>
      </c>
    </row>
    <row r="393" spans="2:6" ht="13.5" thickBot="1" x14ac:dyDescent="0.25">
      <c r="B393" s="119" t="s">
        <v>540</v>
      </c>
      <c r="C393" s="122" t="s">
        <v>541</v>
      </c>
      <c r="D393" s="121" t="s">
        <v>905</v>
      </c>
      <c r="E393" s="136">
        <v>270036</v>
      </c>
    </row>
    <row r="394" spans="2:6" ht="13.5" thickBot="1" x14ac:dyDescent="0.25">
      <c r="B394" s="373">
        <v>22</v>
      </c>
      <c r="C394" s="374" t="s">
        <v>1420</v>
      </c>
      <c r="D394" s="375"/>
      <c r="E394" s="376"/>
    </row>
    <row r="395" spans="2:6" x14ac:dyDescent="0.2">
      <c r="B395" s="126" t="s">
        <v>543</v>
      </c>
      <c r="C395" s="127" t="s">
        <v>542</v>
      </c>
      <c r="D395" s="128" t="s">
        <v>1265</v>
      </c>
      <c r="E395" s="132">
        <v>1369</v>
      </c>
    </row>
    <row r="396" spans="2:6" x14ac:dyDescent="0.2">
      <c r="B396" s="119" t="s">
        <v>548</v>
      </c>
      <c r="C396" s="122" t="s">
        <v>544</v>
      </c>
      <c r="D396" s="121" t="s">
        <v>1265</v>
      </c>
      <c r="E396" s="133">
        <v>1726</v>
      </c>
    </row>
    <row r="397" spans="2:6" x14ac:dyDescent="0.2">
      <c r="B397" s="119" t="s">
        <v>549</v>
      </c>
      <c r="C397" s="122" t="s">
        <v>1421</v>
      </c>
      <c r="D397" s="121" t="s">
        <v>1265</v>
      </c>
      <c r="E397" s="133">
        <v>2517</v>
      </c>
    </row>
    <row r="398" spans="2:6" x14ac:dyDescent="0.2">
      <c r="B398" s="119" t="s">
        <v>550</v>
      </c>
      <c r="C398" s="122" t="s">
        <v>545</v>
      </c>
      <c r="D398" s="121" t="s">
        <v>1265</v>
      </c>
      <c r="E398" s="133">
        <v>4534</v>
      </c>
    </row>
    <row r="399" spans="2:6" x14ac:dyDescent="0.2">
      <c r="B399" s="119" t="s">
        <v>551</v>
      </c>
      <c r="C399" s="122" t="s">
        <v>546</v>
      </c>
      <c r="D399" s="121" t="s">
        <v>1265</v>
      </c>
      <c r="E399" s="133">
        <v>5921</v>
      </c>
    </row>
    <row r="400" spans="2:6" s="123" customFormat="1" x14ac:dyDescent="0.2">
      <c r="B400" s="119" t="s">
        <v>552</v>
      </c>
      <c r="C400" s="122" t="s">
        <v>1422</v>
      </c>
      <c r="D400" s="121" t="s">
        <v>1265</v>
      </c>
      <c r="E400" s="133">
        <f>+(31846*1.16)/6</f>
        <v>6156.8933333333334</v>
      </c>
      <c r="F400" s="131"/>
    </row>
    <row r="401" spans="1:6" x14ac:dyDescent="0.2">
      <c r="B401" s="119" t="s">
        <v>553</v>
      </c>
      <c r="C401" s="122" t="s">
        <v>547</v>
      </c>
      <c r="D401" s="121" t="s">
        <v>1265</v>
      </c>
      <c r="E401" s="133">
        <f>+(46717*1.16)/6</f>
        <v>9031.9533333333329</v>
      </c>
    </row>
    <row r="402" spans="1:6" s="684" customFormat="1" x14ac:dyDescent="0.2">
      <c r="A402" s="123"/>
      <c r="B402" s="681">
        <v>22.8</v>
      </c>
      <c r="C402" s="686" t="s">
        <v>2581</v>
      </c>
      <c r="D402" s="682" t="s">
        <v>1265</v>
      </c>
      <c r="E402" s="683">
        <f>+(69698*1.16)/6</f>
        <v>13474.946666666665</v>
      </c>
      <c r="F402" s="131"/>
    </row>
    <row r="403" spans="1:6" s="684" customFormat="1" x14ac:dyDescent="0.2">
      <c r="A403" s="123"/>
      <c r="B403" s="681">
        <v>22.9</v>
      </c>
      <c r="C403" s="686" t="s">
        <v>2582</v>
      </c>
      <c r="D403" s="682" t="s">
        <v>1265</v>
      </c>
      <c r="E403" s="683">
        <f>+(115000*1.16)/6</f>
        <v>22233.333333333332</v>
      </c>
      <c r="F403" s="131"/>
    </row>
    <row r="404" spans="1:6" s="684" customFormat="1" x14ac:dyDescent="0.2">
      <c r="A404" s="123"/>
      <c r="B404" s="685" t="s">
        <v>2563</v>
      </c>
      <c r="C404" s="686" t="s">
        <v>2583</v>
      </c>
      <c r="D404" s="682" t="s">
        <v>1265</v>
      </c>
      <c r="E404" s="683">
        <f>+(251104*1.16)/6</f>
        <v>48546.773333333324</v>
      </c>
      <c r="F404" s="131"/>
    </row>
    <row r="405" spans="1:6" s="684" customFormat="1" x14ac:dyDescent="0.2">
      <c r="A405" s="123"/>
      <c r="B405" s="685" t="s">
        <v>2564</v>
      </c>
      <c r="C405" s="686" t="s">
        <v>2584</v>
      </c>
      <c r="D405" s="682" t="s">
        <v>1265</v>
      </c>
      <c r="E405" s="683">
        <f>+(425340/6)*1.16</f>
        <v>82232.399999999994</v>
      </c>
      <c r="F405" s="131"/>
    </row>
    <row r="406" spans="1:6" x14ac:dyDescent="0.2">
      <c r="B406" s="119" t="s">
        <v>563</v>
      </c>
      <c r="C406" s="122" t="s">
        <v>554</v>
      </c>
      <c r="D406" s="121" t="s">
        <v>905</v>
      </c>
      <c r="E406" s="133">
        <v>433</v>
      </c>
    </row>
    <row r="407" spans="1:6" x14ac:dyDescent="0.2">
      <c r="B407" s="119" t="s">
        <v>564</v>
      </c>
      <c r="C407" s="122" t="s">
        <v>555</v>
      </c>
      <c r="D407" s="121" t="s">
        <v>905</v>
      </c>
      <c r="E407" s="133">
        <v>730</v>
      </c>
    </row>
    <row r="408" spans="1:6" x14ac:dyDescent="0.2">
      <c r="B408" s="119" t="s">
        <v>565</v>
      </c>
      <c r="C408" s="122" t="s">
        <v>556</v>
      </c>
      <c r="D408" s="121" t="s">
        <v>905</v>
      </c>
      <c r="E408" s="133">
        <v>1426</v>
      </c>
    </row>
    <row r="409" spans="1:6" x14ac:dyDescent="0.2">
      <c r="B409" s="119" t="s">
        <v>566</v>
      </c>
      <c r="C409" s="122" t="s">
        <v>557</v>
      </c>
      <c r="D409" s="121" t="s">
        <v>905</v>
      </c>
      <c r="E409" s="133">
        <v>3682</v>
      </c>
    </row>
    <row r="410" spans="1:6" x14ac:dyDescent="0.2">
      <c r="B410" s="119" t="s">
        <v>567</v>
      </c>
      <c r="C410" s="122" t="s">
        <v>558</v>
      </c>
      <c r="D410" s="121" t="s">
        <v>905</v>
      </c>
      <c r="E410" s="133">
        <v>4835</v>
      </c>
    </row>
    <row r="411" spans="1:6" x14ac:dyDescent="0.2">
      <c r="B411" s="119" t="s">
        <v>568</v>
      </c>
      <c r="C411" s="122" t="s">
        <v>559</v>
      </c>
      <c r="D411" s="121" t="s">
        <v>905</v>
      </c>
      <c r="E411" s="133">
        <v>7698</v>
      </c>
    </row>
    <row r="412" spans="1:6" x14ac:dyDescent="0.2">
      <c r="B412" s="119" t="s">
        <v>569</v>
      </c>
      <c r="C412" s="122" t="s">
        <v>560</v>
      </c>
      <c r="D412" s="121" t="s">
        <v>905</v>
      </c>
      <c r="E412" s="133">
        <v>18258</v>
      </c>
    </row>
    <row r="413" spans="1:6" x14ac:dyDescent="0.2">
      <c r="B413" s="119" t="s">
        <v>570</v>
      </c>
      <c r="C413" s="122" t="s">
        <v>561</v>
      </c>
      <c r="D413" s="121" t="s">
        <v>905</v>
      </c>
      <c r="E413" s="133">
        <v>26166</v>
      </c>
    </row>
    <row r="414" spans="1:6" x14ac:dyDescent="0.2">
      <c r="B414" s="119" t="s">
        <v>571</v>
      </c>
      <c r="C414" s="122" t="s">
        <v>562</v>
      </c>
      <c r="D414" s="121" t="s">
        <v>905</v>
      </c>
      <c r="E414" s="133">
        <v>56588</v>
      </c>
    </row>
    <row r="415" spans="1:6" x14ac:dyDescent="0.2">
      <c r="B415" s="119" t="s">
        <v>572</v>
      </c>
      <c r="C415" s="122" t="s">
        <v>582</v>
      </c>
      <c r="D415" s="121" t="s">
        <v>905</v>
      </c>
      <c r="E415" s="133">
        <v>1819</v>
      </c>
    </row>
    <row r="416" spans="1:6" x14ac:dyDescent="0.2">
      <c r="B416" s="119" t="s">
        <v>573</v>
      </c>
      <c r="C416" s="122" t="s">
        <v>583</v>
      </c>
      <c r="D416" s="121" t="s">
        <v>905</v>
      </c>
      <c r="E416" s="133">
        <v>3226</v>
      </c>
    </row>
    <row r="417" spans="2:5" x14ac:dyDescent="0.2">
      <c r="B417" s="119" t="s">
        <v>574</v>
      </c>
      <c r="C417" s="122" t="s">
        <v>584</v>
      </c>
      <c r="D417" s="121" t="s">
        <v>905</v>
      </c>
      <c r="E417" s="133">
        <v>4878</v>
      </c>
    </row>
    <row r="418" spans="2:5" x14ac:dyDescent="0.2">
      <c r="B418" s="119" t="s">
        <v>575</v>
      </c>
      <c r="C418" s="122" t="s">
        <v>585</v>
      </c>
      <c r="D418" s="121" t="s">
        <v>905</v>
      </c>
      <c r="E418" s="133">
        <v>8803</v>
      </c>
    </row>
    <row r="419" spans="2:5" x14ac:dyDescent="0.2">
      <c r="B419" s="119" t="s">
        <v>576</v>
      </c>
      <c r="C419" s="122" t="s">
        <v>586</v>
      </c>
      <c r="D419" s="121" t="s">
        <v>905</v>
      </c>
      <c r="E419" s="133">
        <v>15111</v>
      </c>
    </row>
    <row r="420" spans="2:5" x14ac:dyDescent="0.2">
      <c r="B420" s="119" t="s">
        <v>577</v>
      </c>
      <c r="C420" s="122" t="s">
        <v>587</v>
      </c>
      <c r="D420" s="121" t="s">
        <v>905</v>
      </c>
      <c r="E420" s="133">
        <v>19316</v>
      </c>
    </row>
    <row r="421" spans="2:5" x14ac:dyDescent="0.2">
      <c r="B421" s="119" t="s">
        <v>578</v>
      </c>
      <c r="C421" s="122" t="s">
        <v>588</v>
      </c>
      <c r="D421" s="121" t="s">
        <v>905</v>
      </c>
      <c r="E421" s="133">
        <v>1015</v>
      </c>
    </row>
    <row r="422" spans="2:5" x14ac:dyDescent="0.2">
      <c r="B422" s="119" t="s">
        <v>579</v>
      </c>
      <c r="C422" s="122" t="s">
        <v>589</v>
      </c>
      <c r="D422" s="121" t="s">
        <v>905</v>
      </c>
      <c r="E422" s="133">
        <v>1984</v>
      </c>
    </row>
    <row r="423" spans="2:5" x14ac:dyDescent="0.2">
      <c r="B423" s="119" t="s">
        <v>580</v>
      </c>
      <c r="C423" s="122" t="s">
        <v>590</v>
      </c>
      <c r="D423" s="121" t="s">
        <v>905</v>
      </c>
      <c r="E423" s="133">
        <v>1984</v>
      </c>
    </row>
    <row r="424" spans="2:5" x14ac:dyDescent="0.2">
      <c r="B424" s="119" t="s">
        <v>599</v>
      </c>
      <c r="C424" s="122" t="s">
        <v>581</v>
      </c>
      <c r="D424" s="121" t="s">
        <v>905</v>
      </c>
      <c r="E424" s="133">
        <v>327</v>
      </c>
    </row>
    <row r="425" spans="2:5" x14ac:dyDescent="0.2">
      <c r="B425" s="119" t="s">
        <v>600</v>
      </c>
      <c r="C425" s="122" t="s">
        <v>591</v>
      </c>
      <c r="D425" s="121" t="s">
        <v>905</v>
      </c>
      <c r="E425" s="133">
        <v>523</v>
      </c>
    </row>
    <row r="426" spans="2:5" x14ac:dyDescent="0.2">
      <c r="B426" s="119" t="s">
        <v>601</v>
      </c>
      <c r="C426" s="122" t="s">
        <v>592</v>
      </c>
      <c r="D426" s="121" t="s">
        <v>905</v>
      </c>
      <c r="E426" s="133">
        <v>1024</v>
      </c>
    </row>
    <row r="427" spans="2:5" x14ac:dyDescent="0.2">
      <c r="B427" s="119" t="s">
        <v>602</v>
      </c>
      <c r="C427" s="122" t="s">
        <v>593</v>
      </c>
      <c r="D427" s="121" t="s">
        <v>905</v>
      </c>
      <c r="E427" s="133">
        <v>1969</v>
      </c>
    </row>
    <row r="428" spans="2:5" x14ac:dyDescent="0.2">
      <c r="B428" s="119" t="s">
        <v>603</v>
      </c>
      <c r="C428" s="122" t="s">
        <v>594</v>
      </c>
      <c r="D428" s="121" t="s">
        <v>905</v>
      </c>
      <c r="E428" s="133">
        <v>3676</v>
      </c>
    </row>
    <row r="429" spans="2:5" x14ac:dyDescent="0.2">
      <c r="B429" s="119" t="s">
        <v>604</v>
      </c>
      <c r="C429" s="122" t="s">
        <v>595</v>
      </c>
      <c r="D429" s="121" t="s">
        <v>905</v>
      </c>
      <c r="E429" s="133">
        <v>6024</v>
      </c>
    </row>
    <row r="430" spans="2:5" x14ac:dyDescent="0.2">
      <c r="B430" s="119" t="s">
        <v>605</v>
      </c>
      <c r="C430" s="122" t="s">
        <v>596</v>
      </c>
      <c r="D430" s="121" t="s">
        <v>905</v>
      </c>
      <c r="E430" s="133">
        <v>17350</v>
      </c>
    </row>
    <row r="431" spans="2:5" x14ac:dyDescent="0.2">
      <c r="B431" s="119" t="s">
        <v>606</v>
      </c>
      <c r="C431" s="122" t="s">
        <v>597</v>
      </c>
      <c r="D431" s="121" t="s">
        <v>905</v>
      </c>
      <c r="E431" s="133">
        <v>20228</v>
      </c>
    </row>
    <row r="432" spans="2:5" x14ac:dyDescent="0.2">
      <c r="B432" s="119" t="s">
        <v>607</v>
      </c>
      <c r="C432" s="122" t="s">
        <v>598</v>
      </c>
      <c r="D432" s="121" t="s">
        <v>905</v>
      </c>
      <c r="E432" s="133">
        <v>43492</v>
      </c>
    </row>
    <row r="433" spans="2:5" x14ac:dyDescent="0.2">
      <c r="B433" s="119" t="s">
        <v>617</v>
      </c>
      <c r="C433" s="122" t="s">
        <v>608</v>
      </c>
      <c r="D433" s="121" t="s">
        <v>905</v>
      </c>
      <c r="E433" s="133">
        <v>539</v>
      </c>
    </row>
    <row r="434" spans="2:5" x14ac:dyDescent="0.2">
      <c r="B434" s="119" t="s">
        <v>618</v>
      </c>
      <c r="C434" s="122" t="s">
        <v>609</v>
      </c>
      <c r="D434" s="121" t="s">
        <v>905</v>
      </c>
      <c r="E434" s="133">
        <v>864</v>
      </c>
    </row>
    <row r="435" spans="2:5" x14ac:dyDescent="0.2">
      <c r="B435" s="119" t="s">
        <v>619</v>
      </c>
      <c r="C435" s="122" t="s">
        <v>610</v>
      </c>
      <c r="D435" s="121" t="s">
        <v>905</v>
      </c>
      <c r="E435" s="133">
        <v>1646</v>
      </c>
    </row>
    <row r="436" spans="2:5" x14ac:dyDescent="0.2">
      <c r="B436" s="119" t="s">
        <v>620</v>
      </c>
      <c r="C436" s="122" t="s">
        <v>611</v>
      </c>
      <c r="D436" s="121" t="s">
        <v>905</v>
      </c>
      <c r="E436" s="133">
        <v>2977</v>
      </c>
    </row>
    <row r="437" spans="2:5" x14ac:dyDescent="0.2">
      <c r="B437" s="119" t="s">
        <v>621</v>
      </c>
      <c r="C437" s="122" t="s">
        <v>612</v>
      </c>
      <c r="D437" s="121" t="s">
        <v>905</v>
      </c>
      <c r="E437" s="133">
        <v>3992</v>
      </c>
    </row>
    <row r="438" spans="2:5" x14ac:dyDescent="0.2">
      <c r="B438" s="119" t="s">
        <v>622</v>
      </c>
      <c r="C438" s="122" t="s">
        <v>613</v>
      </c>
      <c r="D438" s="121" t="s">
        <v>905</v>
      </c>
      <c r="E438" s="133">
        <v>6602</v>
      </c>
    </row>
    <row r="439" spans="2:5" x14ac:dyDescent="0.2">
      <c r="B439" s="119" t="s">
        <v>623</v>
      </c>
      <c r="C439" s="122" t="s">
        <v>614</v>
      </c>
      <c r="D439" s="121" t="s">
        <v>905</v>
      </c>
      <c r="E439" s="133">
        <v>18606</v>
      </c>
    </row>
    <row r="440" spans="2:5" x14ac:dyDescent="0.2">
      <c r="B440" s="119" t="s">
        <v>624</v>
      </c>
      <c r="C440" s="122" t="s">
        <v>615</v>
      </c>
      <c r="D440" s="121" t="s">
        <v>905</v>
      </c>
      <c r="E440" s="133">
        <v>21251</v>
      </c>
    </row>
    <row r="441" spans="2:5" x14ac:dyDescent="0.2">
      <c r="B441" s="119" t="s">
        <v>625</v>
      </c>
      <c r="C441" s="122" t="s">
        <v>616</v>
      </c>
      <c r="D441" s="121" t="s">
        <v>905</v>
      </c>
      <c r="E441" s="133">
        <v>45212</v>
      </c>
    </row>
    <row r="442" spans="2:5" x14ac:dyDescent="0.2">
      <c r="B442" s="119" t="s">
        <v>635</v>
      </c>
      <c r="C442" s="122" t="s">
        <v>626</v>
      </c>
      <c r="D442" s="121" t="s">
        <v>905</v>
      </c>
      <c r="E442" s="133">
        <v>210</v>
      </c>
    </row>
    <row r="443" spans="2:5" x14ac:dyDescent="0.2">
      <c r="B443" s="119" t="s">
        <v>636</v>
      </c>
      <c r="C443" s="122" t="s">
        <v>627</v>
      </c>
      <c r="D443" s="121" t="s">
        <v>905</v>
      </c>
      <c r="E443" s="133">
        <v>332</v>
      </c>
    </row>
    <row r="444" spans="2:5" x14ac:dyDescent="0.2">
      <c r="B444" s="119" t="s">
        <v>637</v>
      </c>
      <c r="C444" s="122" t="s">
        <v>628</v>
      </c>
      <c r="D444" s="121" t="s">
        <v>905</v>
      </c>
      <c r="E444" s="133">
        <v>541</v>
      </c>
    </row>
    <row r="445" spans="2:5" x14ac:dyDescent="0.2">
      <c r="B445" s="119" t="s">
        <v>638</v>
      </c>
      <c r="C445" s="122" t="s">
        <v>629</v>
      </c>
      <c r="D445" s="121" t="s">
        <v>905</v>
      </c>
      <c r="E445" s="133">
        <v>991</v>
      </c>
    </row>
    <row r="446" spans="2:5" x14ac:dyDescent="0.2">
      <c r="B446" s="119" t="s">
        <v>639</v>
      </c>
      <c r="C446" s="122" t="s">
        <v>630</v>
      </c>
      <c r="D446" s="121" t="s">
        <v>905</v>
      </c>
      <c r="E446" s="133">
        <v>1351</v>
      </c>
    </row>
    <row r="447" spans="2:5" x14ac:dyDescent="0.2">
      <c r="B447" s="119" t="s">
        <v>640</v>
      </c>
      <c r="C447" s="122" t="s">
        <v>631</v>
      </c>
      <c r="D447" s="121" t="s">
        <v>905</v>
      </c>
      <c r="E447" s="133">
        <v>2217</v>
      </c>
    </row>
    <row r="448" spans="2:5" x14ac:dyDescent="0.2">
      <c r="B448" s="119" t="s">
        <v>641</v>
      </c>
      <c r="C448" s="122" t="s">
        <v>632</v>
      </c>
      <c r="D448" s="121" t="s">
        <v>905</v>
      </c>
      <c r="E448" s="133">
        <v>8768</v>
      </c>
    </row>
    <row r="449" spans="2:5" x14ac:dyDescent="0.2">
      <c r="B449" s="119" t="s">
        <v>642</v>
      </c>
      <c r="C449" s="122" t="s">
        <v>633</v>
      </c>
      <c r="D449" s="121" t="s">
        <v>905</v>
      </c>
      <c r="E449" s="133">
        <v>10862</v>
      </c>
    </row>
    <row r="450" spans="2:5" x14ac:dyDescent="0.2">
      <c r="B450" s="119" t="s">
        <v>643</v>
      </c>
      <c r="C450" s="122" t="s">
        <v>634</v>
      </c>
      <c r="D450" s="121" t="s">
        <v>905</v>
      </c>
      <c r="E450" s="133">
        <v>23597</v>
      </c>
    </row>
    <row r="451" spans="2:5" x14ac:dyDescent="0.2">
      <c r="B451" s="119" t="s">
        <v>653</v>
      </c>
      <c r="C451" s="122" t="s">
        <v>644</v>
      </c>
      <c r="D451" s="121" t="s">
        <v>905</v>
      </c>
      <c r="E451" s="133">
        <v>225</v>
      </c>
    </row>
    <row r="452" spans="2:5" x14ac:dyDescent="0.2">
      <c r="B452" s="119" t="s">
        <v>654</v>
      </c>
      <c r="C452" s="122" t="s">
        <v>645</v>
      </c>
      <c r="D452" s="121" t="s">
        <v>905</v>
      </c>
      <c r="E452" s="133">
        <v>408</v>
      </c>
    </row>
    <row r="453" spans="2:5" x14ac:dyDescent="0.2">
      <c r="B453" s="119" t="s">
        <v>655</v>
      </c>
      <c r="C453" s="122" t="s">
        <v>646</v>
      </c>
      <c r="D453" s="121" t="s">
        <v>905</v>
      </c>
      <c r="E453" s="133">
        <v>855</v>
      </c>
    </row>
    <row r="454" spans="2:5" x14ac:dyDescent="0.2">
      <c r="B454" s="119" t="s">
        <v>656</v>
      </c>
      <c r="C454" s="122" t="s">
        <v>647</v>
      </c>
      <c r="D454" s="121" t="s">
        <v>905</v>
      </c>
      <c r="E454" s="133">
        <v>1798</v>
      </c>
    </row>
    <row r="455" spans="2:5" x14ac:dyDescent="0.2">
      <c r="B455" s="119" t="s">
        <v>657</v>
      </c>
      <c r="C455" s="122" t="s">
        <v>648</v>
      </c>
      <c r="D455" s="121" t="s">
        <v>905</v>
      </c>
      <c r="E455" s="133">
        <v>2107</v>
      </c>
    </row>
    <row r="456" spans="2:5" x14ac:dyDescent="0.2">
      <c r="B456" s="119" t="s">
        <v>658</v>
      </c>
      <c r="C456" s="122" t="s">
        <v>649</v>
      </c>
      <c r="D456" s="121" t="s">
        <v>905</v>
      </c>
      <c r="E456" s="133">
        <v>3009</v>
      </c>
    </row>
    <row r="457" spans="2:5" x14ac:dyDescent="0.2">
      <c r="B457" s="119" t="s">
        <v>659</v>
      </c>
      <c r="C457" s="122" t="s">
        <v>650</v>
      </c>
      <c r="D457" s="121" t="s">
        <v>905</v>
      </c>
      <c r="E457" s="133">
        <v>7824</v>
      </c>
    </row>
    <row r="458" spans="2:5" x14ac:dyDescent="0.2">
      <c r="B458" s="119" t="s">
        <v>660</v>
      </c>
      <c r="C458" s="122" t="s">
        <v>651</v>
      </c>
      <c r="D458" s="121" t="s">
        <v>905</v>
      </c>
      <c r="E458" s="133">
        <v>11830</v>
      </c>
    </row>
    <row r="459" spans="2:5" x14ac:dyDescent="0.2">
      <c r="B459" s="119" t="s">
        <v>661</v>
      </c>
      <c r="C459" s="122" t="s">
        <v>652</v>
      </c>
      <c r="D459" s="121" t="s">
        <v>905</v>
      </c>
      <c r="E459" s="133">
        <v>21760</v>
      </c>
    </row>
    <row r="460" spans="2:5" x14ac:dyDescent="0.2">
      <c r="B460" s="119" t="s">
        <v>1981</v>
      </c>
      <c r="C460" s="122" t="s">
        <v>662</v>
      </c>
      <c r="D460" s="121" t="s">
        <v>905</v>
      </c>
      <c r="E460" s="133">
        <v>254</v>
      </c>
    </row>
    <row r="461" spans="2:5" x14ac:dyDescent="0.2">
      <c r="B461" s="119" t="s">
        <v>1982</v>
      </c>
      <c r="C461" s="122" t="s">
        <v>663</v>
      </c>
      <c r="D461" s="121" t="s">
        <v>905</v>
      </c>
      <c r="E461" s="133">
        <v>459</v>
      </c>
    </row>
    <row r="462" spans="2:5" x14ac:dyDescent="0.2">
      <c r="B462" s="119" t="s">
        <v>1983</v>
      </c>
      <c r="C462" s="122" t="s">
        <v>664</v>
      </c>
      <c r="D462" s="121" t="s">
        <v>905</v>
      </c>
      <c r="E462" s="133">
        <v>1023</v>
      </c>
    </row>
    <row r="463" spans="2:5" x14ac:dyDescent="0.2">
      <c r="B463" s="119" t="s">
        <v>1984</v>
      </c>
      <c r="C463" s="122" t="s">
        <v>665</v>
      </c>
      <c r="D463" s="121" t="s">
        <v>905</v>
      </c>
      <c r="E463" s="133">
        <v>1673</v>
      </c>
    </row>
    <row r="464" spans="2:5" x14ac:dyDescent="0.2">
      <c r="B464" s="119" t="s">
        <v>1985</v>
      </c>
      <c r="C464" s="122" t="s">
        <v>666</v>
      </c>
      <c r="D464" s="121" t="s">
        <v>905</v>
      </c>
      <c r="E464" s="133">
        <v>2827</v>
      </c>
    </row>
    <row r="465" spans="2:5" x14ac:dyDescent="0.2">
      <c r="B465" s="119" t="s">
        <v>1986</v>
      </c>
      <c r="C465" s="122" t="s">
        <v>1977</v>
      </c>
      <c r="D465" s="121" t="s">
        <v>905</v>
      </c>
      <c r="E465" s="133">
        <v>5033</v>
      </c>
    </row>
    <row r="466" spans="2:5" x14ac:dyDescent="0.2">
      <c r="B466" s="119" t="s">
        <v>1987</v>
      </c>
      <c r="C466" s="122" t="s">
        <v>1978</v>
      </c>
      <c r="D466" s="121" t="s">
        <v>905</v>
      </c>
      <c r="E466" s="133">
        <v>9366</v>
      </c>
    </row>
    <row r="467" spans="2:5" x14ac:dyDescent="0.2">
      <c r="B467" s="119" t="s">
        <v>1988</v>
      </c>
      <c r="C467" s="122" t="s">
        <v>1979</v>
      </c>
      <c r="D467" s="121" t="s">
        <v>905</v>
      </c>
      <c r="E467" s="133">
        <v>14788</v>
      </c>
    </row>
    <row r="468" spans="2:5" x14ac:dyDescent="0.2">
      <c r="B468" s="119" t="s">
        <v>1989</v>
      </c>
      <c r="C468" s="122" t="s">
        <v>1980</v>
      </c>
      <c r="D468" s="121" t="s">
        <v>905</v>
      </c>
      <c r="E468" s="133">
        <v>26704</v>
      </c>
    </row>
    <row r="469" spans="2:5" x14ac:dyDescent="0.2">
      <c r="B469" s="119" t="s">
        <v>1999</v>
      </c>
      <c r="C469" s="122" t="s">
        <v>1990</v>
      </c>
      <c r="D469" s="121" t="s">
        <v>905</v>
      </c>
      <c r="E469" s="133">
        <v>183</v>
      </c>
    </row>
    <row r="470" spans="2:5" x14ac:dyDescent="0.2">
      <c r="B470" s="119" t="s">
        <v>2000</v>
      </c>
      <c r="C470" s="122" t="s">
        <v>1991</v>
      </c>
      <c r="D470" s="121" t="s">
        <v>905</v>
      </c>
      <c r="E470" s="133">
        <v>374</v>
      </c>
    </row>
    <row r="471" spans="2:5" x14ac:dyDescent="0.2">
      <c r="B471" s="119" t="s">
        <v>2001</v>
      </c>
      <c r="C471" s="122" t="s">
        <v>1992</v>
      </c>
      <c r="D471" s="121" t="s">
        <v>905</v>
      </c>
      <c r="E471" s="133">
        <v>628</v>
      </c>
    </row>
    <row r="472" spans="2:5" x14ac:dyDescent="0.2">
      <c r="B472" s="119" t="s">
        <v>2013</v>
      </c>
      <c r="C472" s="122" t="s">
        <v>1993</v>
      </c>
      <c r="D472" s="121" t="s">
        <v>905</v>
      </c>
      <c r="E472" s="133">
        <v>1510</v>
      </c>
    </row>
    <row r="473" spans="2:5" x14ac:dyDescent="0.2">
      <c r="B473" s="119" t="s">
        <v>2014</v>
      </c>
      <c r="C473" s="122" t="s">
        <v>1994</v>
      </c>
      <c r="D473" s="121" t="s">
        <v>905</v>
      </c>
      <c r="E473" s="133">
        <v>1966</v>
      </c>
    </row>
    <row r="474" spans="2:5" x14ac:dyDescent="0.2">
      <c r="B474" s="119" t="s">
        <v>2015</v>
      </c>
      <c r="C474" s="122" t="s">
        <v>1995</v>
      </c>
      <c r="D474" s="121" t="s">
        <v>905</v>
      </c>
      <c r="E474" s="133">
        <v>3124</v>
      </c>
    </row>
    <row r="475" spans="2:5" x14ac:dyDescent="0.2">
      <c r="B475" s="119" t="s">
        <v>2016</v>
      </c>
      <c r="C475" s="122" t="s">
        <v>1996</v>
      </c>
      <c r="D475" s="121" t="s">
        <v>905</v>
      </c>
      <c r="E475" s="133">
        <v>7352</v>
      </c>
    </row>
    <row r="476" spans="2:5" x14ac:dyDescent="0.2">
      <c r="B476" s="119" t="s">
        <v>2017</v>
      </c>
      <c r="C476" s="122" t="s">
        <v>1997</v>
      </c>
      <c r="D476" s="121" t="s">
        <v>905</v>
      </c>
      <c r="E476" s="133">
        <v>11951</v>
      </c>
    </row>
    <row r="477" spans="2:5" x14ac:dyDescent="0.2">
      <c r="B477" s="119" t="s">
        <v>2018</v>
      </c>
      <c r="C477" s="122" t="s">
        <v>1998</v>
      </c>
      <c r="D477" s="121" t="s">
        <v>905</v>
      </c>
      <c r="E477" s="133">
        <v>21716</v>
      </c>
    </row>
    <row r="478" spans="2:5" x14ac:dyDescent="0.2">
      <c r="B478" s="119" t="s">
        <v>1724</v>
      </c>
      <c r="C478" s="122" t="s">
        <v>1702</v>
      </c>
      <c r="D478" s="121" t="s">
        <v>905</v>
      </c>
      <c r="E478" s="133">
        <v>317</v>
      </c>
    </row>
    <row r="479" spans="2:5" x14ac:dyDescent="0.2">
      <c r="B479" s="119" t="s">
        <v>1725</v>
      </c>
      <c r="C479" s="122" t="s">
        <v>1703</v>
      </c>
      <c r="D479" s="121" t="s">
        <v>905</v>
      </c>
      <c r="E479" s="133">
        <v>631</v>
      </c>
    </row>
    <row r="480" spans="2:5" x14ac:dyDescent="0.2">
      <c r="B480" s="119" t="s">
        <v>1726</v>
      </c>
      <c r="C480" s="122" t="s">
        <v>1704</v>
      </c>
      <c r="D480" s="121" t="s">
        <v>905</v>
      </c>
      <c r="E480" s="133">
        <v>631</v>
      </c>
    </row>
    <row r="481" spans="2:5" x14ac:dyDescent="0.2">
      <c r="B481" s="119" t="s">
        <v>1727</v>
      </c>
      <c r="C481" s="122" t="s">
        <v>1705</v>
      </c>
      <c r="D481" s="121" t="s">
        <v>905</v>
      </c>
      <c r="E481" s="133">
        <v>1212</v>
      </c>
    </row>
    <row r="482" spans="2:5" x14ac:dyDescent="0.2">
      <c r="B482" s="119" t="s">
        <v>1728</v>
      </c>
      <c r="C482" s="122" t="s">
        <v>1723</v>
      </c>
      <c r="D482" s="121" t="s">
        <v>905</v>
      </c>
      <c r="E482" s="133">
        <v>1212</v>
      </c>
    </row>
    <row r="483" spans="2:5" x14ac:dyDescent="0.2">
      <c r="B483" s="119" t="s">
        <v>485</v>
      </c>
      <c r="C483" s="122" t="s">
        <v>1706</v>
      </c>
      <c r="D483" s="121" t="s">
        <v>905</v>
      </c>
      <c r="E483" s="133">
        <v>1212</v>
      </c>
    </row>
    <row r="484" spans="2:5" x14ac:dyDescent="0.2">
      <c r="B484" s="119" t="s">
        <v>486</v>
      </c>
      <c r="C484" s="122" t="s">
        <v>1707</v>
      </c>
      <c r="D484" s="121" t="s">
        <v>905</v>
      </c>
      <c r="E484" s="133">
        <v>1871</v>
      </c>
    </row>
    <row r="485" spans="2:5" x14ac:dyDescent="0.2">
      <c r="B485" s="119" t="s">
        <v>487</v>
      </c>
      <c r="C485" s="122" t="s">
        <v>1708</v>
      </c>
      <c r="D485" s="121" t="s">
        <v>905</v>
      </c>
      <c r="E485" s="133">
        <v>1871</v>
      </c>
    </row>
    <row r="486" spans="2:5" x14ac:dyDescent="0.2">
      <c r="B486" s="119" t="s">
        <v>488</v>
      </c>
      <c r="C486" s="122" t="s">
        <v>1709</v>
      </c>
      <c r="D486" s="121" t="s">
        <v>905</v>
      </c>
      <c r="E486" s="133">
        <v>1871</v>
      </c>
    </row>
    <row r="487" spans="2:5" x14ac:dyDescent="0.2">
      <c r="B487" s="119" t="s">
        <v>489</v>
      </c>
      <c r="C487" s="122" t="s">
        <v>1710</v>
      </c>
      <c r="D487" s="121" t="s">
        <v>905</v>
      </c>
      <c r="E487" s="133">
        <v>1871</v>
      </c>
    </row>
    <row r="488" spans="2:5" x14ac:dyDescent="0.2">
      <c r="B488" s="119" t="s">
        <v>490</v>
      </c>
      <c r="C488" s="122" t="s">
        <v>1711</v>
      </c>
      <c r="D488" s="121" t="s">
        <v>905</v>
      </c>
      <c r="E488" s="133">
        <v>2862</v>
      </c>
    </row>
    <row r="489" spans="2:5" x14ac:dyDescent="0.2">
      <c r="B489" s="119" t="s">
        <v>491</v>
      </c>
      <c r="C489" s="122" t="s">
        <v>1712</v>
      </c>
      <c r="D489" s="121" t="s">
        <v>905</v>
      </c>
      <c r="E489" s="133">
        <v>2862</v>
      </c>
    </row>
    <row r="490" spans="2:5" x14ac:dyDescent="0.2">
      <c r="B490" s="119" t="s">
        <v>492</v>
      </c>
      <c r="C490" s="122" t="s">
        <v>1713</v>
      </c>
      <c r="D490" s="121" t="s">
        <v>905</v>
      </c>
      <c r="E490" s="133">
        <v>2862</v>
      </c>
    </row>
    <row r="491" spans="2:5" x14ac:dyDescent="0.2">
      <c r="B491" s="119" t="s">
        <v>493</v>
      </c>
      <c r="C491" s="122" t="s">
        <v>1714</v>
      </c>
      <c r="D491" s="121" t="s">
        <v>905</v>
      </c>
      <c r="E491" s="133">
        <v>2862</v>
      </c>
    </row>
    <row r="492" spans="2:5" x14ac:dyDescent="0.2">
      <c r="B492" s="119" t="s">
        <v>494</v>
      </c>
      <c r="C492" s="122" t="s">
        <v>1715</v>
      </c>
      <c r="D492" s="121" t="s">
        <v>905</v>
      </c>
      <c r="E492" s="133">
        <v>2862</v>
      </c>
    </row>
    <row r="493" spans="2:5" x14ac:dyDescent="0.2">
      <c r="B493" s="119" t="s">
        <v>495</v>
      </c>
      <c r="C493" s="122" t="s">
        <v>1716</v>
      </c>
      <c r="D493" s="121" t="s">
        <v>905</v>
      </c>
      <c r="E493" s="133">
        <v>7178</v>
      </c>
    </row>
    <row r="494" spans="2:5" x14ac:dyDescent="0.2">
      <c r="B494" s="119" t="s">
        <v>496</v>
      </c>
      <c r="C494" s="122" t="s">
        <v>1717</v>
      </c>
      <c r="D494" s="121" t="s">
        <v>905</v>
      </c>
      <c r="E494" s="133">
        <v>6742</v>
      </c>
    </row>
    <row r="495" spans="2:5" x14ac:dyDescent="0.2">
      <c r="B495" s="119" t="s">
        <v>497</v>
      </c>
      <c r="C495" s="122" t="s">
        <v>1718</v>
      </c>
      <c r="D495" s="121" t="s">
        <v>905</v>
      </c>
      <c r="E495" s="133">
        <v>10305</v>
      </c>
    </row>
    <row r="496" spans="2:5" x14ac:dyDescent="0.2">
      <c r="B496" s="119" t="s">
        <v>498</v>
      </c>
      <c r="C496" s="122" t="s">
        <v>1719</v>
      </c>
      <c r="D496" s="121" t="s">
        <v>905</v>
      </c>
      <c r="E496" s="133">
        <v>10305</v>
      </c>
    </row>
    <row r="497" spans="2:5" x14ac:dyDescent="0.2">
      <c r="B497" s="119" t="s">
        <v>499</v>
      </c>
      <c r="C497" s="122" t="s">
        <v>1720</v>
      </c>
      <c r="D497" s="121" t="s">
        <v>905</v>
      </c>
      <c r="E497" s="133">
        <v>16254</v>
      </c>
    </row>
    <row r="498" spans="2:5" x14ac:dyDescent="0.2">
      <c r="B498" s="119" t="s">
        <v>500</v>
      </c>
      <c r="C498" s="122" t="s">
        <v>1721</v>
      </c>
      <c r="D498" s="121" t="s">
        <v>905</v>
      </c>
      <c r="E498" s="133">
        <v>16254</v>
      </c>
    </row>
    <row r="499" spans="2:5" x14ac:dyDescent="0.2">
      <c r="B499" s="119" t="s">
        <v>501</v>
      </c>
      <c r="C499" s="122" t="s">
        <v>1722</v>
      </c>
      <c r="D499" s="121" t="s">
        <v>905</v>
      </c>
      <c r="E499" s="133">
        <v>16254</v>
      </c>
    </row>
    <row r="500" spans="2:5" x14ac:dyDescent="0.2">
      <c r="B500" s="119" t="s">
        <v>1738</v>
      </c>
      <c r="C500" s="122" t="s">
        <v>1729</v>
      </c>
      <c r="D500" s="121" t="s">
        <v>905</v>
      </c>
      <c r="E500" s="133">
        <v>255</v>
      </c>
    </row>
    <row r="501" spans="2:5" x14ac:dyDescent="0.2">
      <c r="B501" s="119" t="s">
        <v>1739</v>
      </c>
      <c r="C501" s="122" t="s">
        <v>1730</v>
      </c>
      <c r="D501" s="121" t="s">
        <v>905</v>
      </c>
      <c r="E501" s="133">
        <v>751</v>
      </c>
    </row>
    <row r="502" spans="2:5" x14ac:dyDescent="0.2">
      <c r="B502" s="119" t="s">
        <v>1740</v>
      </c>
      <c r="C502" s="122" t="s">
        <v>1731</v>
      </c>
      <c r="D502" s="121" t="s">
        <v>905</v>
      </c>
      <c r="E502" s="133">
        <v>1066</v>
      </c>
    </row>
    <row r="503" spans="2:5" x14ac:dyDescent="0.2">
      <c r="B503" s="119" t="s">
        <v>1741</v>
      </c>
      <c r="C503" s="122" t="s">
        <v>1732</v>
      </c>
      <c r="D503" s="121" t="s">
        <v>905</v>
      </c>
      <c r="E503" s="133">
        <v>1886</v>
      </c>
    </row>
    <row r="504" spans="2:5" x14ac:dyDescent="0.2">
      <c r="B504" s="119" t="s">
        <v>1742</v>
      </c>
      <c r="C504" s="122" t="s">
        <v>1733</v>
      </c>
      <c r="D504" s="121" t="s">
        <v>905</v>
      </c>
      <c r="E504" s="133">
        <v>2496</v>
      </c>
    </row>
    <row r="505" spans="2:5" x14ac:dyDescent="0.2">
      <c r="B505" s="119" t="s">
        <v>1743</v>
      </c>
      <c r="C505" s="122" t="s">
        <v>1734</v>
      </c>
      <c r="D505" s="121" t="s">
        <v>905</v>
      </c>
      <c r="E505" s="133">
        <v>4082</v>
      </c>
    </row>
    <row r="506" spans="2:5" x14ac:dyDescent="0.2">
      <c r="B506" s="119" t="s">
        <v>1744</v>
      </c>
      <c r="C506" s="122" t="s">
        <v>1735</v>
      </c>
      <c r="D506" s="121" t="s">
        <v>905</v>
      </c>
      <c r="E506" s="133">
        <v>9406</v>
      </c>
    </row>
    <row r="507" spans="2:5" x14ac:dyDescent="0.2">
      <c r="B507" s="119" t="s">
        <v>1745</v>
      </c>
      <c r="C507" s="122" t="s">
        <v>1736</v>
      </c>
      <c r="D507" s="121" t="s">
        <v>905</v>
      </c>
      <c r="E507" s="133">
        <v>14974</v>
      </c>
    </row>
    <row r="508" spans="2:5" x14ac:dyDescent="0.2">
      <c r="B508" s="119" t="s">
        <v>1746</v>
      </c>
      <c r="C508" s="122" t="s">
        <v>1737</v>
      </c>
      <c r="D508" s="121" t="s">
        <v>905</v>
      </c>
      <c r="E508" s="133">
        <v>27649</v>
      </c>
    </row>
    <row r="509" spans="2:5" x14ac:dyDescent="0.2">
      <c r="B509" s="119" t="s">
        <v>85</v>
      </c>
      <c r="C509" s="122" t="s">
        <v>1747</v>
      </c>
      <c r="D509" s="121" t="s">
        <v>905</v>
      </c>
      <c r="E509" s="133">
        <v>589</v>
      </c>
    </row>
    <row r="510" spans="2:5" x14ac:dyDescent="0.2">
      <c r="B510" s="119" t="s">
        <v>86</v>
      </c>
      <c r="C510" s="122" t="s">
        <v>1748</v>
      </c>
      <c r="D510" s="121" t="s">
        <v>905</v>
      </c>
      <c r="E510" s="133">
        <v>739</v>
      </c>
    </row>
    <row r="511" spans="2:5" x14ac:dyDescent="0.2">
      <c r="B511" s="119" t="s">
        <v>87</v>
      </c>
      <c r="C511" s="122" t="s">
        <v>1749</v>
      </c>
      <c r="D511" s="121" t="s">
        <v>905</v>
      </c>
      <c r="E511" s="133">
        <v>1286</v>
      </c>
    </row>
    <row r="512" spans="2:5" x14ac:dyDescent="0.2">
      <c r="B512" s="119" t="s">
        <v>88</v>
      </c>
      <c r="C512" s="122" t="s">
        <v>1750</v>
      </c>
      <c r="D512" s="121" t="s">
        <v>905</v>
      </c>
      <c r="E512" s="133">
        <v>1286</v>
      </c>
    </row>
    <row r="513" spans="2:5" x14ac:dyDescent="0.2">
      <c r="B513" s="119" t="s">
        <v>89</v>
      </c>
      <c r="C513" s="122" t="s">
        <v>413</v>
      </c>
      <c r="D513" s="121" t="s">
        <v>905</v>
      </c>
      <c r="E513" s="133">
        <v>2160</v>
      </c>
    </row>
    <row r="514" spans="2:5" x14ac:dyDescent="0.2">
      <c r="B514" s="119" t="s">
        <v>90</v>
      </c>
      <c r="C514" s="122" t="s">
        <v>1666</v>
      </c>
      <c r="D514" s="121" t="s">
        <v>905</v>
      </c>
      <c r="E514" s="133">
        <v>2160</v>
      </c>
    </row>
    <row r="515" spans="2:5" x14ac:dyDescent="0.2">
      <c r="B515" s="119" t="s">
        <v>91</v>
      </c>
      <c r="C515" s="122" t="s">
        <v>1667</v>
      </c>
      <c r="D515" s="121" t="s">
        <v>905</v>
      </c>
      <c r="E515" s="133">
        <v>2160</v>
      </c>
    </row>
    <row r="516" spans="2:5" x14ac:dyDescent="0.2">
      <c r="B516" s="119" t="s">
        <v>92</v>
      </c>
      <c r="C516" s="122" t="s">
        <v>75</v>
      </c>
      <c r="D516" s="121" t="s">
        <v>905</v>
      </c>
      <c r="E516" s="133">
        <v>2575</v>
      </c>
    </row>
    <row r="517" spans="2:5" x14ac:dyDescent="0.2">
      <c r="B517" s="119" t="s">
        <v>93</v>
      </c>
      <c r="C517" s="122" t="s">
        <v>76</v>
      </c>
      <c r="D517" s="121" t="s">
        <v>905</v>
      </c>
      <c r="E517" s="133">
        <v>2575</v>
      </c>
    </row>
    <row r="518" spans="2:5" x14ac:dyDescent="0.2">
      <c r="B518" s="119" t="s">
        <v>94</v>
      </c>
      <c r="C518" s="122" t="s">
        <v>77</v>
      </c>
      <c r="D518" s="121" t="s">
        <v>905</v>
      </c>
      <c r="E518" s="133">
        <v>2575</v>
      </c>
    </row>
    <row r="519" spans="2:5" x14ac:dyDescent="0.2">
      <c r="B519" s="119" t="s">
        <v>95</v>
      </c>
      <c r="C519" s="122" t="s">
        <v>78</v>
      </c>
      <c r="D519" s="121" t="s">
        <v>905</v>
      </c>
      <c r="E519" s="133">
        <v>2575</v>
      </c>
    </row>
    <row r="520" spans="2:5" x14ac:dyDescent="0.2">
      <c r="B520" s="119" t="s">
        <v>96</v>
      </c>
      <c r="C520" s="122" t="s">
        <v>79</v>
      </c>
      <c r="D520" s="121" t="s">
        <v>905</v>
      </c>
      <c r="E520" s="133">
        <v>4141</v>
      </c>
    </row>
    <row r="521" spans="2:5" x14ac:dyDescent="0.2">
      <c r="B521" s="119" t="s">
        <v>97</v>
      </c>
      <c r="C521" s="122" t="s">
        <v>80</v>
      </c>
      <c r="D521" s="121" t="s">
        <v>905</v>
      </c>
      <c r="E521" s="133">
        <v>4141</v>
      </c>
    </row>
    <row r="522" spans="2:5" x14ac:dyDescent="0.2">
      <c r="B522" s="119" t="s">
        <v>98</v>
      </c>
      <c r="C522" s="122" t="s">
        <v>81</v>
      </c>
      <c r="D522" s="121" t="s">
        <v>905</v>
      </c>
      <c r="E522" s="133">
        <v>4141</v>
      </c>
    </row>
    <row r="523" spans="2:5" x14ac:dyDescent="0.2">
      <c r="B523" s="119" t="s">
        <v>99</v>
      </c>
      <c r="C523" s="122" t="s">
        <v>82</v>
      </c>
      <c r="D523" s="121" t="s">
        <v>905</v>
      </c>
      <c r="E523" s="133">
        <v>4141</v>
      </c>
    </row>
    <row r="524" spans="2:5" x14ac:dyDescent="0.2">
      <c r="B524" s="119" t="s">
        <v>100</v>
      </c>
      <c r="C524" s="122" t="s">
        <v>83</v>
      </c>
      <c r="D524" s="121" t="s">
        <v>905</v>
      </c>
      <c r="E524" s="133">
        <v>4141</v>
      </c>
    </row>
    <row r="525" spans="2:5" x14ac:dyDescent="0.2">
      <c r="B525" s="119" t="s">
        <v>101</v>
      </c>
      <c r="C525" s="122" t="s">
        <v>84</v>
      </c>
      <c r="D525" s="121" t="s">
        <v>905</v>
      </c>
      <c r="E525" s="133">
        <v>18189</v>
      </c>
    </row>
    <row r="526" spans="2:5" x14ac:dyDescent="0.2">
      <c r="B526" s="401">
        <v>22130</v>
      </c>
      <c r="C526" s="122" t="s">
        <v>1391</v>
      </c>
      <c r="D526" s="142" t="s">
        <v>905</v>
      </c>
      <c r="E526" s="140">
        <v>1071.8777</v>
      </c>
    </row>
    <row r="527" spans="2:5" x14ac:dyDescent="0.2">
      <c r="B527" s="401">
        <v>22131</v>
      </c>
      <c r="C527" s="122" t="s">
        <v>1392</v>
      </c>
      <c r="D527" s="142" t="s">
        <v>905</v>
      </c>
      <c r="E527" s="140">
        <v>2104</v>
      </c>
    </row>
    <row r="528" spans="2:5" x14ac:dyDescent="0.2">
      <c r="B528" s="401">
        <v>22132</v>
      </c>
      <c r="C528" s="122" t="s">
        <v>426</v>
      </c>
      <c r="D528" s="142" t="s">
        <v>905</v>
      </c>
      <c r="E528" s="140">
        <v>225</v>
      </c>
    </row>
    <row r="529" spans="2:6" ht="13.5" thickBot="1" x14ac:dyDescent="0.25">
      <c r="B529" s="402">
        <v>22133</v>
      </c>
      <c r="C529" s="130" t="s">
        <v>429</v>
      </c>
      <c r="D529" s="146" t="s">
        <v>905</v>
      </c>
      <c r="E529" s="145">
        <v>408</v>
      </c>
    </row>
    <row r="530" spans="2:6" x14ac:dyDescent="0.2">
      <c r="B530" s="401">
        <v>22134</v>
      </c>
      <c r="C530" s="122" t="s">
        <v>2097</v>
      </c>
      <c r="D530" s="121" t="s">
        <v>905</v>
      </c>
      <c r="E530" s="140">
        <v>220000</v>
      </c>
    </row>
    <row r="531" spans="2:6" x14ac:dyDescent="0.2">
      <c r="B531" s="401">
        <v>22135</v>
      </c>
      <c r="C531" s="122" t="s">
        <v>2098</v>
      </c>
      <c r="D531" s="121" t="s">
        <v>905</v>
      </c>
      <c r="E531" s="140">
        <v>80000</v>
      </c>
    </row>
    <row r="532" spans="2:6" x14ac:dyDescent="0.2">
      <c r="B532" s="401">
        <v>22136</v>
      </c>
      <c r="C532" s="122" t="s">
        <v>2099</v>
      </c>
      <c r="D532" s="121" t="s">
        <v>905</v>
      </c>
      <c r="E532" s="140">
        <v>50000</v>
      </c>
    </row>
    <row r="533" spans="2:6" x14ac:dyDescent="0.2">
      <c r="B533" s="401">
        <v>22134</v>
      </c>
      <c r="C533" s="120" t="s">
        <v>2095</v>
      </c>
      <c r="D533" s="121" t="s">
        <v>1265</v>
      </c>
      <c r="E533" s="133">
        <f>7938*1.16</f>
        <v>9208.08</v>
      </c>
    </row>
    <row r="534" spans="2:6" x14ac:dyDescent="0.2">
      <c r="B534" s="401">
        <v>22137</v>
      </c>
      <c r="C534" s="120" t="s">
        <v>2126</v>
      </c>
      <c r="D534" s="121" t="s">
        <v>1265</v>
      </c>
      <c r="E534" s="140">
        <v>101311</v>
      </c>
    </row>
    <row r="535" spans="2:6" x14ac:dyDescent="0.2">
      <c r="B535" s="401">
        <v>22138</v>
      </c>
      <c r="C535" s="120" t="s">
        <v>2127</v>
      </c>
      <c r="D535" s="121" t="s">
        <v>905</v>
      </c>
      <c r="E535" s="140">
        <v>106720</v>
      </c>
    </row>
    <row r="536" spans="2:6" x14ac:dyDescent="0.2">
      <c r="B536" s="401">
        <v>22139</v>
      </c>
      <c r="C536" s="120" t="s">
        <v>2128</v>
      </c>
      <c r="D536" s="121" t="s">
        <v>905</v>
      </c>
      <c r="E536" s="140">
        <v>140360</v>
      </c>
    </row>
    <row r="537" spans="2:6" x14ac:dyDescent="0.2">
      <c r="B537" s="401">
        <v>22140</v>
      </c>
      <c r="C537" s="120" t="s">
        <v>2129</v>
      </c>
      <c r="D537" s="121" t="s">
        <v>905</v>
      </c>
      <c r="E537" s="140">
        <v>531480</v>
      </c>
    </row>
    <row r="538" spans="2:6" ht="13.5" thickBot="1" x14ac:dyDescent="0.25">
      <c r="B538" s="400">
        <v>23</v>
      </c>
      <c r="C538" s="370" t="s">
        <v>102</v>
      </c>
      <c r="D538" s="399"/>
      <c r="E538" s="372"/>
    </row>
    <row r="539" spans="2:6" s="123" customFormat="1" x14ac:dyDescent="0.2">
      <c r="B539" s="351" t="s">
        <v>2147</v>
      </c>
      <c r="C539" s="352" t="s">
        <v>2255</v>
      </c>
      <c r="D539" s="353" t="s">
        <v>1265</v>
      </c>
      <c r="E539" s="144">
        <f>(26424/6)*1.16</f>
        <v>5108.6399999999994</v>
      </c>
      <c r="F539" s="131"/>
    </row>
    <row r="540" spans="2:6" s="123" customFormat="1" x14ac:dyDescent="0.2">
      <c r="B540" s="335" t="s">
        <v>2148</v>
      </c>
      <c r="C540" s="336" t="s">
        <v>2256</v>
      </c>
      <c r="D540" s="142" t="s">
        <v>1265</v>
      </c>
      <c r="E540" s="140">
        <v>9615</v>
      </c>
      <c r="F540" s="131"/>
    </row>
    <row r="541" spans="2:6" s="123" customFormat="1" x14ac:dyDescent="0.2">
      <c r="B541" s="335" t="s">
        <v>2100</v>
      </c>
      <c r="C541" s="336" t="s">
        <v>2257</v>
      </c>
      <c r="D541" s="142" t="s">
        <v>1265</v>
      </c>
      <c r="E541" s="140">
        <v>13662</v>
      </c>
      <c r="F541" s="131"/>
    </row>
    <row r="542" spans="2:6" x14ac:dyDescent="0.2">
      <c r="B542" s="332" t="s">
        <v>2100</v>
      </c>
      <c r="C542" s="354" t="s">
        <v>2258</v>
      </c>
      <c r="D542" s="332" t="s">
        <v>1265</v>
      </c>
      <c r="E542" s="333">
        <f>+(46698/6)*1.16</f>
        <v>9028.2799999999988</v>
      </c>
    </row>
    <row r="543" spans="2:6" x14ac:dyDescent="0.2">
      <c r="B543" s="332" t="s">
        <v>2114</v>
      </c>
      <c r="C543" s="334" t="s">
        <v>2259</v>
      </c>
      <c r="D543" s="332" t="s">
        <v>1265</v>
      </c>
      <c r="E543" s="333">
        <v>12249</v>
      </c>
    </row>
    <row r="544" spans="2:6" x14ac:dyDescent="0.2">
      <c r="B544" s="332" t="s">
        <v>2119</v>
      </c>
      <c r="C544" s="334" t="s">
        <v>2260</v>
      </c>
      <c r="D544" s="332" t="s">
        <v>1265</v>
      </c>
      <c r="E544" s="333">
        <v>25965</v>
      </c>
    </row>
    <row r="545" spans="2:5" x14ac:dyDescent="0.2">
      <c r="B545" s="332" t="s">
        <v>2120</v>
      </c>
      <c r="C545" s="334" t="s">
        <v>2261</v>
      </c>
      <c r="D545" s="332" t="s">
        <v>1265</v>
      </c>
      <c r="E545" s="333">
        <v>43860</v>
      </c>
    </row>
    <row r="546" spans="2:5" x14ac:dyDescent="0.2">
      <c r="B546" s="335" t="s">
        <v>2149</v>
      </c>
      <c r="C546" s="355" t="s">
        <v>2262</v>
      </c>
      <c r="D546" s="142" t="s">
        <v>1265</v>
      </c>
      <c r="E546" s="140">
        <f>(76982/6)*1.16</f>
        <v>14883.186666666666</v>
      </c>
    </row>
    <row r="547" spans="2:5" x14ac:dyDescent="0.2">
      <c r="B547" s="335" t="s">
        <v>2150</v>
      </c>
      <c r="C547" s="355" t="s">
        <v>2263</v>
      </c>
      <c r="D547" s="142" t="s">
        <v>1265</v>
      </c>
      <c r="E547" s="140">
        <f>+(167798/6)*1.16</f>
        <v>32440.946666666663</v>
      </c>
    </row>
    <row r="548" spans="2:5" x14ac:dyDescent="0.2">
      <c r="B548" s="119" t="s">
        <v>103</v>
      </c>
      <c r="C548" s="355" t="s">
        <v>2264</v>
      </c>
      <c r="D548" s="142" t="s">
        <v>1265</v>
      </c>
      <c r="E548" s="140">
        <f>(285520/6)*1.16</f>
        <v>55200.533333333326</v>
      </c>
    </row>
    <row r="549" spans="2:5" x14ac:dyDescent="0.2">
      <c r="B549" s="119" t="s">
        <v>104</v>
      </c>
      <c r="C549" s="355" t="s">
        <v>2265</v>
      </c>
      <c r="D549" s="142" t="s">
        <v>1265</v>
      </c>
      <c r="E549" s="140">
        <f>(446307/6)*1.16</f>
        <v>86286.01999999999</v>
      </c>
    </row>
    <row r="550" spans="2:5" x14ac:dyDescent="0.2">
      <c r="B550" s="335" t="s">
        <v>2151</v>
      </c>
      <c r="C550" s="355" t="s">
        <v>2266</v>
      </c>
      <c r="D550" s="142" t="s">
        <v>1265</v>
      </c>
      <c r="E550" s="140">
        <f>(628733/6)*1.16</f>
        <v>121555.04666666665</v>
      </c>
    </row>
    <row r="551" spans="2:5" x14ac:dyDescent="0.2">
      <c r="B551" s="119" t="s">
        <v>105</v>
      </c>
      <c r="C551" s="355" t="s">
        <v>2267</v>
      </c>
      <c r="D551" s="142" t="s">
        <v>1265</v>
      </c>
      <c r="E551" s="140">
        <f>(778403/6)*1.16</f>
        <v>150491.24666666664</v>
      </c>
    </row>
    <row r="552" spans="2:5" x14ac:dyDescent="0.2">
      <c r="B552" s="119" t="s">
        <v>106</v>
      </c>
      <c r="C552" s="355" t="s">
        <v>2268</v>
      </c>
      <c r="D552" s="142" t="s">
        <v>1265</v>
      </c>
      <c r="E552" s="140">
        <f>(1035202/6)*1.16</f>
        <v>200139.05333333332</v>
      </c>
    </row>
    <row r="553" spans="2:5" x14ac:dyDescent="0.2">
      <c r="B553" s="119" t="s">
        <v>107</v>
      </c>
      <c r="C553" s="355" t="s">
        <v>2269</v>
      </c>
      <c r="D553" s="142" t="s">
        <v>1265</v>
      </c>
      <c r="E553" s="140">
        <f>(1624000/6)*1.16</f>
        <v>313973.33333333331</v>
      </c>
    </row>
    <row r="554" spans="2:5" x14ac:dyDescent="0.2">
      <c r="B554" s="119" t="s">
        <v>108</v>
      </c>
      <c r="C554" s="355" t="s">
        <v>2270</v>
      </c>
      <c r="D554" s="142" t="s">
        <v>1265</v>
      </c>
      <c r="E554" s="140">
        <v>477876</v>
      </c>
    </row>
    <row r="555" spans="2:5" x14ac:dyDescent="0.2">
      <c r="B555" s="119" t="s">
        <v>117</v>
      </c>
      <c r="C555" s="336" t="s">
        <v>109</v>
      </c>
      <c r="D555" s="142" t="s">
        <v>905</v>
      </c>
      <c r="E555" s="140">
        <v>17811</v>
      </c>
    </row>
    <row r="556" spans="2:5" x14ac:dyDescent="0.2">
      <c r="B556" s="119" t="s">
        <v>118</v>
      </c>
      <c r="C556" s="336" t="s">
        <v>110</v>
      </c>
      <c r="D556" s="142" t="s">
        <v>905</v>
      </c>
      <c r="E556" s="140">
        <v>22946</v>
      </c>
    </row>
    <row r="557" spans="2:5" x14ac:dyDescent="0.2">
      <c r="B557" s="119" t="s">
        <v>119</v>
      </c>
      <c r="C557" s="336" t="s">
        <v>111</v>
      </c>
      <c r="D557" s="142" t="s">
        <v>905</v>
      </c>
      <c r="E557" s="140">
        <v>41549</v>
      </c>
    </row>
    <row r="558" spans="2:5" x14ac:dyDescent="0.2">
      <c r="B558" s="119" t="s">
        <v>120</v>
      </c>
      <c r="C558" s="336" t="s">
        <v>112</v>
      </c>
      <c r="D558" s="142" t="s">
        <v>905</v>
      </c>
      <c r="E558" s="140">
        <v>79777</v>
      </c>
    </row>
    <row r="559" spans="2:5" x14ac:dyDescent="0.2">
      <c r="B559" s="119" t="s">
        <v>121</v>
      </c>
      <c r="C559" s="336" t="s">
        <v>113</v>
      </c>
      <c r="D559" s="142" t="s">
        <v>905</v>
      </c>
      <c r="E559" s="140">
        <v>212495</v>
      </c>
    </row>
    <row r="560" spans="2:5" x14ac:dyDescent="0.2">
      <c r="B560" s="119" t="s">
        <v>122</v>
      </c>
      <c r="C560" s="336" t="s">
        <v>114</v>
      </c>
      <c r="D560" s="142" t="s">
        <v>905</v>
      </c>
      <c r="E560" s="140">
        <v>505316</v>
      </c>
    </row>
    <row r="561" spans="2:5" x14ac:dyDescent="0.2">
      <c r="B561" s="119" t="s">
        <v>123</v>
      </c>
      <c r="C561" s="336" t="s">
        <v>115</v>
      </c>
      <c r="D561" s="142" t="s">
        <v>905</v>
      </c>
      <c r="E561" s="140">
        <v>1099037</v>
      </c>
    </row>
    <row r="562" spans="2:5" x14ac:dyDescent="0.2">
      <c r="B562" s="119" t="s">
        <v>124</v>
      </c>
      <c r="C562" s="336" t="s">
        <v>116</v>
      </c>
      <c r="D562" s="142" t="s">
        <v>905</v>
      </c>
      <c r="E562" s="140">
        <v>1491595</v>
      </c>
    </row>
    <row r="563" spans="2:5" x14ac:dyDescent="0.2">
      <c r="B563" s="119" t="s">
        <v>133</v>
      </c>
      <c r="C563" s="336" t="s">
        <v>125</v>
      </c>
      <c r="D563" s="142" t="s">
        <v>905</v>
      </c>
      <c r="E563" s="140">
        <v>15398</v>
      </c>
    </row>
    <row r="564" spans="2:5" x14ac:dyDescent="0.2">
      <c r="B564" s="119" t="s">
        <v>134</v>
      </c>
      <c r="C564" s="336" t="s">
        <v>126</v>
      </c>
      <c r="D564" s="142" t="s">
        <v>905</v>
      </c>
      <c r="E564" s="140">
        <v>17622</v>
      </c>
    </row>
    <row r="565" spans="2:5" x14ac:dyDescent="0.2">
      <c r="B565" s="119" t="s">
        <v>135</v>
      </c>
      <c r="C565" s="336" t="s">
        <v>127</v>
      </c>
      <c r="D565" s="142" t="s">
        <v>905</v>
      </c>
      <c r="E565" s="140">
        <v>27861</v>
      </c>
    </row>
    <row r="566" spans="2:5" x14ac:dyDescent="0.2">
      <c r="B566" s="119" t="s">
        <v>136</v>
      </c>
      <c r="C566" s="336" t="s">
        <v>128</v>
      </c>
      <c r="D566" s="142" t="s">
        <v>905</v>
      </c>
      <c r="E566" s="140">
        <v>56120</v>
      </c>
    </row>
    <row r="567" spans="2:5" x14ac:dyDescent="0.2">
      <c r="B567" s="119" t="s">
        <v>137</v>
      </c>
      <c r="C567" s="336" t="s">
        <v>129</v>
      </c>
      <c r="D567" s="142" t="s">
        <v>905</v>
      </c>
      <c r="E567" s="140">
        <v>154616</v>
      </c>
    </row>
    <row r="568" spans="2:5" x14ac:dyDescent="0.2">
      <c r="B568" s="119" t="s">
        <v>138</v>
      </c>
      <c r="C568" s="336" t="s">
        <v>130</v>
      </c>
      <c r="D568" s="142" t="s">
        <v>905</v>
      </c>
      <c r="E568" s="140">
        <v>335724</v>
      </c>
    </row>
    <row r="569" spans="2:5" x14ac:dyDescent="0.2">
      <c r="B569" s="119" t="s">
        <v>139</v>
      </c>
      <c r="C569" s="336" t="s">
        <v>131</v>
      </c>
      <c r="D569" s="142" t="s">
        <v>905</v>
      </c>
      <c r="E569" s="140">
        <v>718982</v>
      </c>
    </row>
    <row r="570" spans="2:5" x14ac:dyDescent="0.2">
      <c r="B570" s="119" t="s">
        <v>140</v>
      </c>
      <c r="C570" s="336" t="s">
        <v>132</v>
      </c>
      <c r="D570" s="142" t="s">
        <v>905</v>
      </c>
      <c r="E570" s="140">
        <v>1009241</v>
      </c>
    </row>
    <row r="571" spans="2:5" x14ac:dyDescent="0.2">
      <c r="B571" s="119" t="s">
        <v>1136</v>
      </c>
      <c r="C571" s="336" t="s">
        <v>1128</v>
      </c>
      <c r="D571" s="142" t="s">
        <v>905</v>
      </c>
      <c r="E571" s="140">
        <v>13577</v>
      </c>
    </row>
    <row r="572" spans="2:5" x14ac:dyDescent="0.2">
      <c r="B572" s="119" t="s">
        <v>1137</v>
      </c>
      <c r="C572" s="336" t="s">
        <v>1129</v>
      </c>
      <c r="D572" s="142" t="s">
        <v>905</v>
      </c>
      <c r="E572" s="140">
        <v>19040</v>
      </c>
    </row>
    <row r="573" spans="2:5" x14ac:dyDescent="0.2">
      <c r="B573" s="119" t="s">
        <v>1138</v>
      </c>
      <c r="C573" s="336" t="s">
        <v>1130</v>
      </c>
      <c r="D573" s="142" t="s">
        <v>905</v>
      </c>
      <c r="E573" s="140">
        <v>27411</v>
      </c>
    </row>
    <row r="574" spans="2:5" x14ac:dyDescent="0.2">
      <c r="B574" s="119" t="s">
        <v>1139</v>
      </c>
      <c r="C574" s="336" t="s">
        <v>1131</v>
      </c>
      <c r="D574" s="142" t="s">
        <v>905</v>
      </c>
      <c r="E574" s="140">
        <v>50376</v>
      </c>
    </row>
    <row r="575" spans="2:5" x14ac:dyDescent="0.2">
      <c r="B575" s="119" t="s">
        <v>1140</v>
      </c>
      <c r="C575" s="336" t="s">
        <v>1132</v>
      </c>
      <c r="D575" s="142" t="s">
        <v>905</v>
      </c>
      <c r="E575" s="140">
        <v>123477</v>
      </c>
    </row>
    <row r="576" spans="2:5" x14ac:dyDescent="0.2">
      <c r="B576" s="119" t="s">
        <v>1141</v>
      </c>
      <c r="C576" s="336" t="s">
        <v>1133</v>
      </c>
      <c r="D576" s="142" t="s">
        <v>905</v>
      </c>
      <c r="E576" s="140">
        <v>261264</v>
      </c>
    </row>
    <row r="577" spans="2:5" x14ac:dyDescent="0.2">
      <c r="B577" s="119" t="s">
        <v>1142</v>
      </c>
      <c r="C577" s="336" t="s">
        <v>1134</v>
      </c>
      <c r="D577" s="142" t="s">
        <v>905</v>
      </c>
      <c r="E577" s="140">
        <v>585430</v>
      </c>
    </row>
    <row r="578" spans="2:5" x14ac:dyDescent="0.2">
      <c r="B578" s="119" t="s">
        <v>1143</v>
      </c>
      <c r="C578" s="336" t="s">
        <v>1135</v>
      </c>
      <c r="D578" s="142" t="s">
        <v>905</v>
      </c>
      <c r="E578" s="140">
        <v>788357</v>
      </c>
    </row>
    <row r="579" spans="2:5" x14ac:dyDescent="0.2">
      <c r="B579" s="119" t="s">
        <v>1152</v>
      </c>
      <c r="C579" s="336" t="s">
        <v>1144</v>
      </c>
      <c r="D579" s="142" t="s">
        <v>905</v>
      </c>
      <c r="E579" s="140">
        <v>15660</v>
      </c>
    </row>
    <row r="580" spans="2:5" x14ac:dyDescent="0.2">
      <c r="B580" s="119" t="s">
        <v>1153</v>
      </c>
      <c r="C580" s="336" t="s">
        <v>1145</v>
      </c>
      <c r="D580" s="142" t="s">
        <v>905</v>
      </c>
      <c r="E580" s="140">
        <v>18004</v>
      </c>
    </row>
    <row r="581" spans="2:5" x14ac:dyDescent="0.2">
      <c r="B581" s="119" t="s">
        <v>1154</v>
      </c>
      <c r="C581" s="336" t="s">
        <v>1146</v>
      </c>
      <c r="D581" s="142" t="s">
        <v>905</v>
      </c>
      <c r="E581" s="140">
        <v>24983</v>
      </c>
    </row>
    <row r="582" spans="2:5" x14ac:dyDescent="0.2">
      <c r="B582" s="119" t="s">
        <v>1155</v>
      </c>
      <c r="C582" s="336" t="s">
        <v>1147</v>
      </c>
      <c r="D582" s="142" t="s">
        <v>905</v>
      </c>
      <c r="E582" s="140">
        <v>47864</v>
      </c>
    </row>
    <row r="583" spans="2:5" x14ac:dyDescent="0.2">
      <c r="B583" s="119" t="s">
        <v>1156</v>
      </c>
      <c r="C583" s="336" t="s">
        <v>1148</v>
      </c>
      <c r="D583" s="142" t="s">
        <v>905</v>
      </c>
      <c r="E583" s="140">
        <v>110411</v>
      </c>
    </row>
    <row r="584" spans="2:5" x14ac:dyDescent="0.2">
      <c r="B584" s="119" t="s">
        <v>1157</v>
      </c>
      <c r="C584" s="336" t="s">
        <v>1149</v>
      </c>
      <c r="D584" s="142" t="s">
        <v>905</v>
      </c>
      <c r="E584" s="140">
        <v>224344</v>
      </c>
    </row>
    <row r="585" spans="2:5" x14ac:dyDescent="0.2">
      <c r="B585" s="119" t="s">
        <v>1158</v>
      </c>
      <c r="C585" s="336" t="s">
        <v>1150</v>
      </c>
      <c r="D585" s="142" t="s">
        <v>905</v>
      </c>
      <c r="E585" s="140">
        <v>478933</v>
      </c>
    </row>
    <row r="586" spans="2:5" x14ac:dyDescent="0.2">
      <c r="B586" s="119" t="s">
        <v>1159</v>
      </c>
      <c r="C586" s="336" t="s">
        <v>1151</v>
      </c>
      <c r="D586" s="142" t="s">
        <v>905</v>
      </c>
      <c r="E586" s="140">
        <v>633941</v>
      </c>
    </row>
    <row r="587" spans="2:5" x14ac:dyDescent="0.2">
      <c r="B587" s="119" t="s">
        <v>1163</v>
      </c>
      <c r="C587" s="336" t="s">
        <v>1160</v>
      </c>
      <c r="D587" s="142" t="s">
        <v>905</v>
      </c>
      <c r="E587" s="140">
        <v>136611</v>
      </c>
    </row>
    <row r="588" spans="2:5" x14ac:dyDescent="0.2">
      <c r="B588" s="119" t="s">
        <v>1164</v>
      </c>
      <c r="C588" s="336" t="s">
        <v>1161</v>
      </c>
      <c r="D588" s="142" t="s">
        <v>905</v>
      </c>
      <c r="E588" s="140">
        <v>271888</v>
      </c>
    </row>
    <row r="589" spans="2:5" x14ac:dyDescent="0.2">
      <c r="B589" s="119" t="s">
        <v>1165</v>
      </c>
      <c r="C589" s="336" t="s">
        <v>1162</v>
      </c>
      <c r="D589" s="142" t="s">
        <v>905</v>
      </c>
      <c r="E589" s="140">
        <v>384176</v>
      </c>
    </row>
    <row r="590" spans="2:5" x14ac:dyDescent="0.2">
      <c r="B590" s="119" t="s">
        <v>1166</v>
      </c>
      <c r="C590" s="336" t="s">
        <v>1167</v>
      </c>
      <c r="D590" s="142" t="s">
        <v>905</v>
      </c>
      <c r="E590" s="140">
        <v>13405</v>
      </c>
    </row>
    <row r="591" spans="2:5" x14ac:dyDescent="0.2">
      <c r="B591" s="119" t="s">
        <v>1175</v>
      </c>
      <c r="C591" s="336" t="s">
        <v>1168</v>
      </c>
      <c r="D591" s="142" t="s">
        <v>905</v>
      </c>
      <c r="E591" s="140">
        <v>17466</v>
      </c>
    </row>
    <row r="592" spans="2:5" x14ac:dyDescent="0.2">
      <c r="B592" s="119" t="s">
        <v>1176</v>
      </c>
      <c r="C592" s="336" t="s">
        <v>1169</v>
      </c>
      <c r="D592" s="142" t="s">
        <v>905</v>
      </c>
      <c r="E592" s="140">
        <v>22951</v>
      </c>
    </row>
    <row r="593" spans="2:5" x14ac:dyDescent="0.2">
      <c r="B593" s="119" t="s">
        <v>1177</v>
      </c>
      <c r="C593" s="336" t="s">
        <v>1170</v>
      </c>
      <c r="D593" s="142" t="s">
        <v>905</v>
      </c>
      <c r="E593" s="140">
        <v>37306</v>
      </c>
    </row>
    <row r="594" spans="2:5" x14ac:dyDescent="0.2">
      <c r="B594" s="119" t="s">
        <v>1178</v>
      </c>
      <c r="C594" s="336" t="s">
        <v>1171</v>
      </c>
      <c r="D594" s="142" t="s">
        <v>905</v>
      </c>
      <c r="E594" s="140">
        <v>87104</v>
      </c>
    </row>
    <row r="595" spans="2:5" x14ac:dyDescent="0.2">
      <c r="B595" s="119" t="s">
        <v>1179</v>
      </c>
      <c r="C595" s="336" t="s">
        <v>1172</v>
      </c>
      <c r="D595" s="142" t="s">
        <v>905</v>
      </c>
      <c r="E595" s="140">
        <v>160031</v>
      </c>
    </row>
    <row r="596" spans="2:5" x14ac:dyDescent="0.2">
      <c r="B596" s="119" t="s">
        <v>1180</v>
      </c>
      <c r="C596" s="336" t="s">
        <v>1173</v>
      </c>
      <c r="D596" s="142" t="s">
        <v>905</v>
      </c>
      <c r="E596" s="140">
        <v>285926</v>
      </c>
    </row>
    <row r="597" spans="2:5" x14ac:dyDescent="0.2">
      <c r="B597" s="119" t="s">
        <v>1181</v>
      </c>
      <c r="C597" s="336" t="s">
        <v>1174</v>
      </c>
      <c r="D597" s="142" t="s">
        <v>905</v>
      </c>
      <c r="E597" s="140">
        <v>443119</v>
      </c>
    </row>
    <row r="598" spans="2:5" x14ac:dyDescent="0.2">
      <c r="B598" s="119" t="s">
        <v>1190</v>
      </c>
      <c r="C598" s="336" t="s">
        <v>1182</v>
      </c>
      <c r="D598" s="142" t="s">
        <v>905</v>
      </c>
      <c r="E598" s="140">
        <v>15517</v>
      </c>
    </row>
    <row r="599" spans="2:5" x14ac:dyDescent="0.2">
      <c r="B599" s="119" t="s">
        <v>1191</v>
      </c>
      <c r="C599" s="336" t="s">
        <v>1183</v>
      </c>
      <c r="D599" s="142" t="s">
        <v>905</v>
      </c>
      <c r="E599" s="140">
        <v>18067</v>
      </c>
    </row>
    <row r="600" spans="2:5" x14ac:dyDescent="0.2">
      <c r="B600" s="119" t="s">
        <v>1192</v>
      </c>
      <c r="C600" s="336" t="s">
        <v>1184</v>
      </c>
      <c r="D600" s="142" t="s">
        <v>905</v>
      </c>
      <c r="E600" s="140">
        <v>25580</v>
      </c>
    </row>
    <row r="601" spans="2:5" x14ac:dyDescent="0.2">
      <c r="B601" s="119" t="s">
        <v>1193</v>
      </c>
      <c r="C601" s="336" t="s">
        <v>1185</v>
      </c>
      <c r="D601" s="142" t="s">
        <v>905</v>
      </c>
      <c r="E601" s="140">
        <v>43862</v>
      </c>
    </row>
    <row r="602" spans="2:5" x14ac:dyDescent="0.2">
      <c r="B602" s="119" t="s">
        <v>1194</v>
      </c>
      <c r="C602" s="336" t="s">
        <v>1186</v>
      </c>
      <c r="D602" s="142" t="s">
        <v>905</v>
      </c>
      <c r="E602" s="140">
        <v>102029</v>
      </c>
    </row>
    <row r="603" spans="2:5" x14ac:dyDescent="0.2">
      <c r="B603" s="119" t="s">
        <v>1195</v>
      </c>
      <c r="C603" s="336" t="s">
        <v>1187</v>
      </c>
      <c r="D603" s="142" t="s">
        <v>905</v>
      </c>
      <c r="E603" s="140">
        <v>187596</v>
      </c>
    </row>
    <row r="604" spans="2:5" x14ac:dyDescent="0.2">
      <c r="B604" s="119" t="s">
        <v>1196</v>
      </c>
      <c r="C604" s="336" t="s">
        <v>1188</v>
      </c>
      <c r="D604" s="142" t="s">
        <v>905</v>
      </c>
      <c r="E604" s="140">
        <v>320414</v>
      </c>
    </row>
    <row r="605" spans="2:5" x14ac:dyDescent="0.2">
      <c r="B605" s="119" t="s">
        <v>1197</v>
      </c>
      <c r="C605" s="336" t="s">
        <v>1189</v>
      </c>
      <c r="D605" s="142" t="s">
        <v>905</v>
      </c>
      <c r="E605" s="140">
        <v>586548</v>
      </c>
    </row>
    <row r="606" spans="2:5" x14ac:dyDescent="0.2">
      <c r="B606" s="335" t="s">
        <v>2156</v>
      </c>
      <c r="C606" s="336" t="s">
        <v>1198</v>
      </c>
      <c r="D606" s="142" t="s">
        <v>905</v>
      </c>
      <c r="E606" s="140">
        <f>5942*1.16</f>
        <v>6892.7199999999993</v>
      </c>
    </row>
    <row r="607" spans="2:5" x14ac:dyDescent="0.2">
      <c r="B607" s="119" t="s">
        <v>1209</v>
      </c>
      <c r="C607" s="336" t="s">
        <v>1199</v>
      </c>
      <c r="D607" s="142" t="s">
        <v>905</v>
      </c>
      <c r="E607" s="140">
        <v>4862</v>
      </c>
    </row>
    <row r="608" spans="2:5" x14ac:dyDescent="0.2">
      <c r="B608" s="119" t="s">
        <v>1210</v>
      </c>
      <c r="C608" s="336" t="s">
        <v>1200</v>
      </c>
      <c r="D608" s="142" t="s">
        <v>905</v>
      </c>
      <c r="E608" s="140">
        <v>6388</v>
      </c>
    </row>
    <row r="609" spans="2:5" x14ac:dyDescent="0.2">
      <c r="B609" s="119" t="s">
        <v>1211</v>
      </c>
      <c r="C609" s="336" t="s">
        <v>1201</v>
      </c>
      <c r="D609" s="142" t="s">
        <v>905</v>
      </c>
      <c r="E609" s="140">
        <v>6388</v>
      </c>
    </row>
    <row r="610" spans="2:5" x14ac:dyDescent="0.2">
      <c r="B610" s="119" t="s">
        <v>1212</v>
      </c>
      <c r="C610" s="336" t="s">
        <v>1202</v>
      </c>
      <c r="D610" s="142" t="s">
        <v>905</v>
      </c>
      <c r="E610" s="140">
        <v>9724</v>
      </c>
    </row>
    <row r="611" spans="2:5" x14ac:dyDescent="0.2">
      <c r="B611" s="119" t="s">
        <v>1213</v>
      </c>
      <c r="C611" s="336" t="s">
        <v>1203</v>
      </c>
      <c r="D611" s="142" t="s">
        <v>905</v>
      </c>
      <c r="E611" s="140">
        <v>9724</v>
      </c>
    </row>
    <row r="612" spans="2:5" x14ac:dyDescent="0.2">
      <c r="B612" s="119" t="s">
        <v>1214</v>
      </c>
      <c r="C612" s="336" t="s">
        <v>1204</v>
      </c>
      <c r="D612" s="142" t="s">
        <v>905</v>
      </c>
      <c r="E612" s="140">
        <v>11007</v>
      </c>
    </row>
    <row r="613" spans="2:5" x14ac:dyDescent="0.2">
      <c r="B613" s="119" t="s">
        <v>1215</v>
      </c>
      <c r="C613" s="336" t="s">
        <v>1205</v>
      </c>
      <c r="D613" s="142" t="s">
        <v>905</v>
      </c>
      <c r="E613" s="140">
        <v>11007</v>
      </c>
    </row>
    <row r="614" spans="2:5" x14ac:dyDescent="0.2">
      <c r="B614" s="119" t="s">
        <v>1216</v>
      </c>
      <c r="C614" s="336" t="s">
        <v>1206</v>
      </c>
      <c r="D614" s="142" t="s">
        <v>905</v>
      </c>
      <c r="E614" s="140">
        <v>13992</v>
      </c>
    </row>
    <row r="615" spans="2:5" x14ac:dyDescent="0.2">
      <c r="B615" s="119" t="s">
        <v>1217</v>
      </c>
      <c r="C615" s="336" t="s">
        <v>1207</v>
      </c>
      <c r="D615" s="142" t="s">
        <v>905</v>
      </c>
      <c r="E615" s="140">
        <v>13992</v>
      </c>
    </row>
    <row r="616" spans="2:5" x14ac:dyDescent="0.2">
      <c r="B616" s="119" t="s">
        <v>1218</v>
      </c>
      <c r="C616" s="336" t="s">
        <v>1208</v>
      </c>
      <c r="D616" s="142" t="s">
        <v>905</v>
      </c>
      <c r="E616" s="140">
        <v>30949</v>
      </c>
    </row>
    <row r="617" spans="2:5" x14ac:dyDescent="0.2">
      <c r="B617" s="119" t="s">
        <v>1227</v>
      </c>
      <c r="C617" s="336" t="s">
        <v>1219</v>
      </c>
      <c r="D617" s="142" t="s">
        <v>905</v>
      </c>
      <c r="E617" s="140">
        <v>78798</v>
      </c>
    </row>
    <row r="618" spans="2:5" x14ac:dyDescent="0.2">
      <c r="B618" s="119" t="s">
        <v>1228</v>
      </c>
      <c r="C618" s="336" t="s">
        <v>1220</v>
      </c>
      <c r="D618" s="142" t="s">
        <v>905</v>
      </c>
      <c r="E618" s="140">
        <v>78798</v>
      </c>
    </row>
    <row r="619" spans="2:5" x14ac:dyDescent="0.2">
      <c r="B619" s="119" t="s">
        <v>1229</v>
      </c>
      <c r="C619" s="336" t="s">
        <v>1221</v>
      </c>
      <c r="D619" s="142" t="s">
        <v>905</v>
      </c>
      <c r="E619" s="140">
        <v>84316</v>
      </c>
    </row>
    <row r="620" spans="2:5" x14ac:dyDescent="0.2">
      <c r="B620" s="119" t="s">
        <v>1230</v>
      </c>
      <c r="C620" s="336" t="s">
        <v>1222</v>
      </c>
      <c r="D620" s="142" t="s">
        <v>905</v>
      </c>
      <c r="E620" s="140">
        <v>103506</v>
      </c>
    </row>
    <row r="621" spans="2:5" x14ac:dyDescent="0.2">
      <c r="B621" s="119" t="s">
        <v>1231</v>
      </c>
      <c r="C621" s="336" t="s">
        <v>1223</v>
      </c>
      <c r="D621" s="142" t="s">
        <v>905</v>
      </c>
      <c r="E621" s="140">
        <v>84464</v>
      </c>
    </row>
    <row r="622" spans="2:5" x14ac:dyDescent="0.2">
      <c r="B622" s="119" t="s">
        <v>1232</v>
      </c>
      <c r="C622" s="336" t="s">
        <v>1224</v>
      </c>
      <c r="D622" s="142" t="s">
        <v>905</v>
      </c>
      <c r="E622" s="140">
        <v>164306</v>
      </c>
    </row>
    <row r="623" spans="2:5" x14ac:dyDescent="0.2">
      <c r="B623" s="119" t="s">
        <v>1233</v>
      </c>
      <c r="C623" s="336" t="s">
        <v>1225</v>
      </c>
      <c r="D623" s="142" t="s">
        <v>905</v>
      </c>
      <c r="E623" s="140">
        <v>341836</v>
      </c>
    </row>
    <row r="624" spans="2:5" x14ac:dyDescent="0.2">
      <c r="B624" s="119" t="s">
        <v>1234</v>
      </c>
      <c r="C624" s="336" t="s">
        <v>1226</v>
      </c>
      <c r="D624" s="142" t="s">
        <v>905</v>
      </c>
      <c r="E624" s="140">
        <v>604028</v>
      </c>
    </row>
    <row r="625" spans="2:5" x14ac:dyDescent="0.2">
      <c r="B625" s="119" t="s">
        <v>1242</v>
      </c>
      <c r="C625" s="336" t="s">
        <v>1235</v>
      </c>
      <c r="D625" s="142" t="s">
        <v>905</v>
      </c>
      <c r="E625" s="140">
        <v>68904</v>
      </c>
    </row>
    <row r="626" spans="2:5" x14ac:dyDescent="0.2">
      <c r="B626" s="119" t="s">
        <v>1243</v>
      </c>
      <c r="C626" s="336" t="s">
        <v>1236</v>
      </c>
      <c r="D626" s="142" t="s">
        <v>905</v>
      </c>
      <c r="E626" s="140">
        <v>44842</v>
      </c>
    </row>
    <row r="627" spans="2:5" x14ac:dyDescent="0.2">
      <c r="B627" s="119" t="s">
        <v>1244</v>
      </c>
      <c r="C627" s="336" t="s">
        <v>1237</v>
      </c>
      <c r="D627" s="142" t="s">
        <v>905</v>
      </c>
      <c r="E627" s="140">
        <v>56574</v>
      </c>
    </row>
    <row r="628" spans="2:5" x14ac:dyDescent="0.2">
      <c r="B628" s="119" t="s">
        <v>1245</v>
      </c>
      <c r="C628" s="336" t="s">
        <v>1238</v>
      </c>
      <c r="D628" s="142" t="s">
        <v>905</v>
      </c>
      <c r="E628" s="140">
        <v>75018</v>
      </c>
    </row>
    <row r="629" spans="2:5" x14ac:dyDescent="0.2">
      <c r="B629" s="119" t="s">
        <v>1246</v>
      </c>
      <c r="C629" s="336" t="s">
        <v>1239</v>
      </c>
      <c r="D629" s="142" t="s">
        <v>905</v>
      </c>
      <c r="E629" s="140">
        <v>128214</v>
      </c>
    </row>
    <row r="630" spans="2:5" x14ac:dyDescent="0.2">
      <c r="B630" s="119" t="s">
        <v>1247</v>
      </c>
      <c r="C630" s="336" t="s">
        <v>1240</v>
      </c>
      <c r="D630" s="142" t="s">
        <v>905</v>
      </c>
      <c r="E630" s="140">
        <v>203332</v>
      </c>
    </row>
    <row r="631" spans="2:5" x14ac:dyDescent="0.2">
      <c r="B631" s="119" t="s">
        <v>1248</v>
      </c>
      <c r="C631" s="336" t="s">
        <v>1241</v>
      </c>
      <c r="D631" s="142" t="s">
        <v>905</v>
      </c>
      <c r="E631" s="140">
        <v>396570</v>
      </c>
    </row>
    <row r="632" spans="2:5" x14ac:dyDescent="0.2">
      <c r="B632" s="119" t="s">
        <v>466</v>
      </c>
      <c r="C632" s="336" t="s">
        <v>1249</v>
      </c>
      <c r="D632" s="142" t="s">
        <v>905</v>
      </c>
      <c r="E632" s="140">
        <v>46334</v>
      </c>
    </row>
    <row r="633" spans="2:5" x14ac:dyDescent="0.2">
      <c r="B633" s="119" t="s">
        <v>467</v>
      </c>
      <c r="C633" s="336" t="s">
        <v>458</v>
      </c>
      <c r="D633" s="142" t="s">
        <v>905</v>
      </c>
      <c r="E633" s="140">
        <v>45986</v>
      </c>
    </row>
    <row r="634" spans="2:5" x14ac:dyDescent="0.2">
      <c r="B634" s="119" t="s">
        <v>468</v>
      </c>
      <c r="C634" s="336" t="s">
        <v>459</v>
      </c>
      <c r="D634" s="142" t="s">
        <v>905</v>
      </c>
      <c r="E634" s="140">
        <v>54884</v>
      </c>
    </row>
    <row r="635" spans="2:5" x14ac:dyDescent="0.2">
      <c r="B635" s="119" t="s">
        <v>469</v>
      </c>
      <c r="C635" s="336" t="s">
        <v>460</v>
      </c>
      <c r="D635" s="142" t="s">
        <v>905</v>
      </c>
      <c r="E635" s="140">
        <v>57768</v>
      </c>
    </row>
    <row r="636" spans="2:5" x14ac:dyDescent="0.2">
      <c r="B636" s="119" t="s">
        <v>470</v>
      </c>
      <c r="C636" s="336" t="s">
        <v>461</v>
      </c>
      <c r="D636" s="142" t="s">
        <v>905</v>
      </c>
      <c r="E636" s="140">
        <v>77156</v>
      </c>
    </row>
    <row r="637" spans="2:5" x14ac:dyDescent="0.2">
      <c r="B637" s="119" t="s">
        <v>471</v>
      </c>
      <c r="C637" s="336" t="s">
        <v>462</v>
      </c>
      <c r="D637" s="142" t="s">
        <v>905</v>
      </c>
      <c r="E637" s="140">
        <v>66666</v>
      </c>
    </row>
    <row r="638" spans="2:5" x14ac:dyDescent="0.2">
      <c r="B638" s="119" t="s">
        <v>472</v>
      </c>
      <c r="C638" s="336" t="s">
        <v>463</v>
      </c>
      <c r="D638" s="142" t="s">
        <v>905</v>
      </c>
      <c r="E638" s="140">
        <v>66666</v>
      </c>
    </row>
    <row r="639" spans="2:5" x14ac:dyDescent="0.2">
      <c r="B639" s="119" t="s">
        <v>473</v>
      </c>
      <c r="C639" s="336" t="s">
        <v>464</v>
      </c>
      <c r="D639" s="142" t="s">
        <v>905</v>
      </c>
      <c r="E639" s="140">
        <v>222968</v>
      </c>
    </row>
    <row r="640" spans="2:5" x14ac:dyDescent="0.2">
      <c r="B640" s="119" t="s">
        <v>474</v>
      </c>
      <c r="C640" s="336" t="s">
        <v>465</v>
      </c>
      <c r="D640" s="142" t="s">
        <v>905</v>
      </c>
      <c r="E640" s="140">
        <v>311212</v>
      </c>
    </row>
    <row r="641" spans="2:5" x14ac:dyDescent="0.2">
      <c r="B641" s="119" t="s">
        <v>479</v>
      </c>
      <c r="C641" s="336" t="s">
        <v>475</v>
      </c>
      <c r="D641" s="142" t="s">
        <v>905</v>
      </c>
      <c r="E641" s="140">
        <v>35446</v>
      </c>
    </row>
    <row r="642" spans="2:5" x14ac:dyDescent="0.2">
      <c r="B642" s="119" t="s">
        <v>414</v>
      </c>
      <c r="C642" s="336" t="s">
        <v>476</v>
      </c>
      <c r="D642" s="142" t="s">
        <v>905</v>
      </c>
      <c r="E642" s="140">
        <v>75466</v>
      </c>
    </row>
    <row r="643" spans="2:5" x14ac:dyDescent="0.2">
      <c r="B643" s="119" t="s">
        <v>415</v>
      </c>
      <c r="C643" s="336" t="s">
        <v>477</v>
      </c>
      <c r="D643" s="142" t="s">
        <v>905</v>
      </c>
      <c r="E643" s="140">
        <v>107730</v>
      </c>
    </row>
    <row r="644" spans="2:5" x14ac:dyDescent="0.2">
      <c r="B644" s="119" t="s">
        <v>416</v>
      </c>
      <c r="C644" s="336" t="s">
        <v>478</v>
      </c>
      <c r="D644" s="142" t="s">
        <v>905</v>
      </c>
      <c r="E644" s="140">
        <v>182004</v>
      </c>
    </row>
    <row r="645" spans="2:5" x14ac:dyDescent="0.2">
      <c r="B645" s="119" t="s">
        <v>417</v>
      </c>
      <c r="C645" s="336" t="s">
        <v>480</v>
      </c>
      <c r="D645" s="142" t="s">
        <v>905</v>
      </c>
      <c r="E645" s="140">
        <v>81880</v>
      </c>
    </row>
    <row r="646" spans="2:5" x14ac:dyDescent="0.2">
      <c r="B646" s="119" t="s">
        <v>418</v>
      </c>
      <c r="C646" s="336" t="s">
        <v>481</v>
      </c>
      <c r="D646" s="142" t="s">
        <v>1265</v>
      </c>
      <c r="E646" s="140">
        <v>1242</v>
      </c>
    </row>
    <row r="647" spans="2:5" x14ac:dyDescent="0.2">
      <c r="B647" s="119" t="s">
        <v>419</v>
      </c>
      <c r="C647" s="336" t="s">
        <v>482</v>
      </c>
      <c r="D647" s="142" t="s">
        <v>1265</v>
      </c>
      <c r="E647" s="140">
        <v>2441</v>
      </c>
    </row>
    <row r="648" spans="2:5" x14ac:dyDescent="0.2">
      <c r="B648" s="119" t="s">
        <v>420</v>
      </c>
      <c r="C648" s="336" t="s">
        <v>424</v>
      </c>
      <c r="D648" s="142" t="s">
        <v>905</v>
      </c>
      <c r="E648" s="140">
        <v>1288</v>
      </c>
    </row>
    <row r="649" spans="2:5" x14ac:dyDescent="0.2">
      <c r="B649" s="119" t="s">
        <v>421</v>
      </c>
      <c r="C649" s="336" t="s">
        <v>425</v>
      </c>
      <c r="D649" s="142" t="s">
        <v>905</v>
      </c>
      <c r="E649" s="140">
        <v>1312</v>
      </c>
    </row>
    <row r="650" spans="2:5" x14ac:dyDescent="0.2">
      <c r="B650" s="119" t="s">
        <v>422</v>
      </c>
      <c r="C650" s="336" t="s">
        <v>483</v>
      </c>
      <c r="D650" s="142" t="s">
        <v>905</v>
      </c>
      <c r="E650" s="140">
        <v>2260</v>
      </c>
    </row>
    <row r="651" spans="2:5" ht="13.5" thickBot="1" x14ac:dyDescent="0.25">
      <c r="B651" s="125" t="s">
        <v>423</v>
      </c>
      <c r="C651" s="356" t="s">
        <v>484</v>
      </c>
      <c r="D651" s="146" t="s">
        <v>905</v>
      </c>
      <c r="E651" s="145">
        <v>1926</v>
      </c>
    </row>
    <row r="652" spans="2:5" ht="13.5" thickBot="1" x14ac:dyDescent="0.25">
      <c r="B652" s="357">
        <v>24</v>
      </c>
      <c r="C652" s="358" t="s">
        <v>868</v>
      </c>
      <c r="D652" s="359"/>
      <c r="E652" s="360"/>
    </row>
    <row r="653" spans="2:5" x14ac:dyDescent="0.2">
      <c r="B653" s="126" t="s">
        <v>156</v>
      </c>
      <c r="C653" s="127" t="s">
        <v>141</v>
      </c>
      <c r="D653" s="141" t="s">
        <v>1265</v>
      </c>
      <c r="E653" s="144">
        <v>22542</v>
      </c>
    </row>
    <row r="654" spans="2:5" x14ac:dyDescent="0.2">
      <c r="B654" s="119" t="s">
        <v>157</v>
      </c>
      <c r="C654" s="122" t="s">
        <v>142</v>
      </c>
      <c r="D654" s="142" t="s">
        <v>1265</v>
      </c>
      <c r="E654" s="140">
        <v>48930</v>
      </c>
    </row>
    <row r="655" spans="2:5" x14ac:dyDescent="0.2">
      <c r="B655" s="119" t="s">
        <v>158</v>
      </c>
      <c r="C655" s="122" t="s">
        <v>143</v>
      </c>
      <c r="D655" s="142" t="s">
        <v>1265</v>
      </c>
      <c r="E655" s="140">
        <v>83874</v>
      </c>
    </row>
    <row r="656" spans="2:5" x14ac:dyDescent="0.2">
      <c r="B656" s="119" t="s">
        <v>159</v>
      </c>
      <c r="C656" s="122" t="s">
        <v>144</v>
      </c>
      <c r="D656" s="142" t="s">
        <v>1265</v>
      </c>
      <c r="E656" s="140">
        <v>131249</v>
      </c>
    </row>
    <row r="657" spans="2:6" x14ac:dyDescent="0.2">
      <c r="B657" s="119" t="s">
        <v>160</v>
      </c>
      <c r="C657" s="122" t="s">
        <v>145</v>
      </c>
      <c r="D657" s="142" t="s">
        <v>1265</v>
      </c>
      <c r="E657" s="140">
        <v>182556</v>
      </c>
    </row>
    <row r="658" spans="2:6" x14ac:dyDescent="0.2">
      <c r="B658" s="119" t="s">
        <v>858</v>
      </c>
      <c r="C658" s="122" t="s">
        <v>146</v>
      </c>
      <c r="D658" s="142" t="s">
        <v>905</v>
      </c>
      <c r="E658" s="140">
        <v>21712</v>
      </c>
    </row>
    <row r="659" spans="2:6" x14ac:dyDescent="0.2">
      <c r="B659" s="119" t="s">
        <v>859</v>
      </c>
      <c r="C659" s="122" t="s">
        <v>147</v>
      </c>
      <c r="D659" s="142" t="s">
        <v>905</v>
      </c>
      <c r="E659" s="140">
        <v>42899</v>
      </c>
    </row>
    <row r="660" spans="2:6" x14ac:dyDescent="0.2">
      <c r="B660" s="119" t="s">
        <v>860</v>
      </c>
      <c r="C660" s="122" t="s">
        <v>148</v>
      </c>
      <c r="D660" s="142" t="s">
        <v>905</v>
      </c>
      <c r="E660" s="140">
        <v>59414</v>
      </c>
    </row>
    <row r="661" spans="2:6" x14ac:dyDescent="0.2">
      <c r="B661" s="119" t="s">
        <v>861</v>
      </c>
      <c r="C661" s="122" t="s">
        <v>149</v>
      </c>
      <c r="D661" s="142" t="s">
        <v>905</v>
      </c>
      <c r="E661" s="140">
        <v>67716</v>
      </c>
    </row>
    <row r="662" spans="2:6" x14ac:dyDescent="0.2">
      <c r="B662" s="119" t="s">
        <v>862</v>
      </c>
      <c r="C662" s="122" t="s">
        <v>150</v>
      </c>
      <c r="D662" s="142" t="s">
        <v>905</v>
      </c>
      <c r="E662" s="140">
        <v>100804</v>
      </c>
    </row>
    <row r="663" spans="2:6" x14ac:dyDescent="0.2">
      <c r="B663" s="119" t="s">
        <v>863</v>
      </c>
      <c r="C663" s="122" t="s">
        <v>151</v>
      </c>
      <c r="D663" s="142" t="s">
        <v>905</v>
      </c>
      <c r="E663" s="140">
        <v>5439</v>
      </c>
    </row>
    <row r="664" spans="2:6" x14ac:dyDescent="0.2">
      <c r="B664" s="119" t="s">
        <v>864</v>
      </c>
      <c r="C664" s="122" t="s">
        <v>152</v>
      </c>
      <c r="D664" s="142" t="s">
        <v>905</v>
      </c>
      <c r="E664" s="140">
        <v>6539</v>
      </c>
    </row>
    <row r="665" spans="2:6" x14ac:dyDescent="0.2">
      <c r="B665" s="119" t="s">
        <v>865</v>
      </c>
      <c r="C665" s="122" t="s">
        <v>153</v>
      </c>
      <c r="D665" s="142" t="s">
        <v>905</v>
      </c>
      <c r="E665" s="140">
        <v>8416</v>
      </c>
    </row>
    <row r="666" spans="2:6" x14ac:dyDescent="0.2">
      <c r="B666" s="119" t="s">
        <v>866</v>
      </c>
      <c r="C666" s="122" t="s">
        <v>154</v>
      </c>
      <c r="D666" s="142" t="s">
        <v>905</v>
      </c>
      <c r="E666" s="140">
        <v>11039</v>
      </c>
    </row>
    <row r="667" spans="2:6" x14ac:dyDescent="0.2">
      <c r="B667" s="119" t="s">
        <v>867</v>
      </c>
      <c r="C667" s="122" t="s">
        <v>155</v>
      </c>
      <c r="D667" s="142" t="s">
        <v>905</v>
      </c>
      <c r="E667" s="140">
        <v>14227</v>
      </c>
      <c r="F667" s="1433"/>
    </row>
    <row r="668" spans="2:6" ht="13.5" thickBot="1" x14ac:dyDescent="0.25">
      <c r="B668" s="125" t="s">
        <v>2019</v>
      </c>
      <c r="C668" s="130" t="s">
        <v>2020</v>
      </c>
      <c r="D668" s="146" t="s">
        <v>936</v>
      </c>
      <c r="E668" s="145">
        <v>96329</v>
      </c>
      <c r="F668" s="1433"/>
    </row>
    <row r="669" spans="2:6" ht="13.5" thickBot="1" x14ac:dyDescent="0.25">
      <c r="B669" s="361">
        <v>25</v>
      </c>
      <c r="C669" s="362" t="s">
        <v>1429</v>
      </c>
      <c r="D669" s="363"/>
      <c r="E669" s="364"/>
      <c r="F669" s="1433"/>
    </row>
    <row r="670" spans="2:6" x14ac:dyDescent="0.2">
      <c r="B670" s="126" t="s">
        <v>1430</v>
      </c>
      <c r="C670" s="150" t="s">
        <v>1431</v>
      </c>
      <c r="D670" s="141" t="s">
        <v>905</v>
      </c>
      <c r="E670" s="144">
        <v>24587</v>
      </c>
      <c r="F670" s="1433"/>
    </row>
    <row r="671" spans="2:6" x14ac:dyDescent="0.2">
      <c r="B671" s="119" t="s">
        <v>1432</v>
      </c>
      <c r="C671" s="149" t="s">
        <v>1433</v>
      </c>
      <c r="D671" s="142" t="s">
        <v>905</v>
      </c>
      <c r="E671" s="140">
        <v>50994</v>
      </c>
      <c r="F671" s="1433"/>
    </row>
    <row r="672" spans="2:6" x14ac:dyDescent="0.2">
      <c r="B672" s="119" t="s">
        <v>1434</v>
      </c>
      <c r="C672" s="149" t="s">
        <v>1423</v>
      </c>
      <c r="D672" s="142" t="s">
        <v>905</v>
      </c>
      <c r="E672" s="140">
        <v>32480</v>
      </c>
    </row>
    <row r="673" spans="2:5" x14ac:dyDescent="0.2">
      <c r="B673" s="119" t="s">
        <v>1435</v>
      </c>
      <c r="C673" s="336" t="s">
        <v>1425</v>
      </c>
      <c r="D673" s="142" t="s">
        <v>905</v>
      </c>
      <c r="E673" s="140">
        <v>18698</v>
      </c>
    </row>
    <row r="674" spans="2:5" x14ac:dyDescent="0.2">
      <c r="B674" s="119" t="s">
        <v>1436</v>
      </c>
      <c r="C674" s="336" t="s">
        <v>1424</v>
      </c>
      <c r="D674" s="142" t="s">
        <v>905</v>
      </c>
      <c r="E674" s="140">
        <v>24658</v>
      </c>
    </row>
    <row r="675" spans="2:5" x14ac:dyDescent="0.2">
      <c r="B675" s="119" t="s">
        <v>1437</v>
      </c>
      <c r="C675" s="336" t="s">
        <v>1426</v>
      </c>
      <c r="D675" s="142" t="s">
        <v>905</v>
      </c>
      <c r="E675" s="140">
        <v>69450</v>
      </c>
    </row>
    <row r="676" spans="2:5" x14ac:dyDescent="0.2">
      <c r="B676" s="119" t="s">
        <v>1438</v>
      </c>
      <c r="C676" s="149" t="s">
        <v>454</v>
      </c>
      <c r="D676" s="134" t="s">
        <v>905</v>
      </c>
      <c r="E676" s="138">
        <v>57558</v>
      </c>
    </row>
    <row r="677" spans="2:5" x14ac:dyDescent="0.2">
      <c r="B677" s="119" t="s">
        <v>1439</v>
      </c>
      <c r="C677" s="149" t="s">
        <v>453</v>
      </c>
      <c r="D677" s="134" t="s">
        <v>905</v>
      </c>
      <c r="E677" s="138">
        <v>102635</v>
      </c>
    </row>
    <row r="678" spans="2:5" x14ac:dyDescent="0.2">
      <c r="B678" s="119" t="s">
        <v>1440</v>
      </c>
      <c r="C678" s="336" t="s">
        <v>1427</v>
      </c>
      <c r="D678" s="142" t="s">
        <v>905</v>
      </c>
      <c r="E678" s="140">
        <v>152706</v>
      </c>
    </row>
    <row r="679" spans="2:5" x14ac:dyDescent="0.2">
      <c r="B679" s="119" t="s">
        <v>1441</v>
      </c>
      <c r="C679" s="336" t="s">
        <v>1428</v>
      </c>
      <c r="D679" s="142" t="s">
        <v>905</v>
      </c>
      <c r="E679" s="140">
        <v>368620</v>
      </c>
    </row>
    <row r="680" spans="2:5" ht="13.5" customHeight="1" x14ac:dyDescent="0.2">
      <c r="B680" s="119" t="s">
        <v>1442</v>
      </c>
      <c r="C680" s="149" t="s">
        <v>455</v>
      </c>
      <c r="D680" s="134" t="s">
        <v>905</v>
      </c>
      <c r="E680" s="138">
        <v>281287</v>
      </c>
    </row>
    <row r="681" spans="2:5" x14ac:dyDescent="0.2">
      <c r="B681" s="119" t="s">
        <v>1443</v>
      </c>
      <c r="C681" s="149" t="s">
        <v>456</v>
      </c>
      <c r="D681" s="134" t="s">
        <v>905</v>
      </c>
      <c r="E681" s="138">
        <v>346680</v>
      </c>
    </row>
    <row r="682" spans="2:5" x14ac:dyDescent="0.2">
      <c r="B682" s="119" t="s">
        <v>1444</v>
      </c>
      <c r="C682" s="336" t="s">
        <v>457</v>
      </c>
      <c r="D682" s="142" t="s">
        <v>905</v>
      </c>
      <c r="E682" s="140">
        <v>8018</v>
      </c>
    </row>
    <row r="683" spans="2:5" x14ac:dyDescent="0.2">
      <c r="B683" s="119" t="s">
        <v>1445</v>
      </c>
      <c r="C683" s="149" t="s">
        <v>823</v>
      </c>
      <c r="D683" s="142" t="s">
        <v>905</v>
      </c>
      <c r="E683" s="140">
        <v>8018</v>
      </c>
    </row>
    <row r="684" spans="2:5" x14ac:dyDescent="0.2">
      <c r="B684" s="302" t="s">
        <v>2115</v>
      </c>
      <c r="C684" s="365" t="s">
        <v>2117</v>
      </c>
      <c r="D684" s="366" t="s">
        <v>905</v>
      </c>
      <c r="E684" s="303">
        <v>8019</v>
      </c>
    </row>
    <row r="685" spans="2:5" x14ac:dyDescent="0.2">
      <c r="B685" s="302" t="s">
        <v>2116</v>
      </c>
      <c r="C685" s="365" t="s">
        <v>2118</v>
      </c>
      <c r="D685" s="366" t="s">
        <v>905</v>
      </c>
      <c r="E685" s="303">
        <v>8020</v>
      </c>
    </row>
    <row r="686" spans="2:5" x14ac:dyDescent="0.2">
      <c r="B686" s="119" t="s">
        <v>1446</v>
      </c>
      <c r="C686" s="149" t="s">
        <v>824</v>
      </c>
      <c r="D686" s="142" t="s">
        <v>905</v>
      </c>
      <c r="E686" s="140">
        <v>12300</v>
      </c>
    </row>
    <row r="687" spans="2:5" x14ac:dyDescent="0.2">
      <c r="B687" s="119" t="s">
        <v>1447</v>
      </c>
      <c r="C687" s="336" t="s">
        <v>825</v>
      </c>
      <c r="D687" s="142" t="s">
        <v>905</v>
      </c>
      <c r="E687" s="140">
        <v>11000</v>
      </c>
    </row>
    <row r="688" spans="2:5" ht="25.5" x14ac:dyDescent="0.2">
      <c r="B688" s="119" t="s">
        <v>1448</v>
      </c>
      <c r="C688" s="367" t="s">
        <v>826</v>
      </c>
      <c r="D688" s="142" t="s">
        <v>905</v>
      </c>
      <c r="E688" s="140">
        <v>871160</v>
      </c>
    </row>
    <row r="689" spans="1:5" ht="25.5" x14ac:dyDescent="0.2">
      <c r="A689" s="1415"/>
      <c r="B689" s="119" t="s">
        <v>1449</v>
      </c>
      <c r="C689" s="367" t="s">
        <v>827</v>
      </c>
      <c r="D689" s="142" t="s">
        <v>905</v>
      </c>
      <c r="E689" s="140">
        <v>482560</v>
      </c>
    </row>
    <row r="690" spans="1:5" ht="25.5" x14ac:dyDescent="0.2">
      <c r="B690" s="119" t="s">
        <v>1450</v>
      </c>
      <c r="C690" s="367" t="s">
        <v>828</v>
      </c>
      <c r="D690" s="142" t="s">
        <v>905</v>
      </c>
      <c r="E690" s="140">
        <v>350000</v>
      </c>
    </row>
    <row r="691" spans="1:5" ht="25.5" x14ac:dyDescent="0.2">
      <c r="B691" s="119" t="s">
        <v>1451</v>
      </c>
      <c r="C691" s="367" t="s">
        <v>829</v>
      </c>
      <c r="D691" s="142" t="s">
        <v>905</v>
      </c>
      <c r="E691" s="140">
        <v>1205820</v>
      </c>
    </row>
    <row r="692" spans="1:5" ht="25.5" x14ac:dyDescent="0.2">
      <c r="B692" s="119" t="s">
        <v>1452</v>
      </c>
      <c r="C692" s="367" t="s">
        <v>830</v>
      </c>
      <c r="D692" s="142" t="s">
        <v>905</v>
      </c>
      <c r="E692" s="140">
        <v>829400</v>
      </c>
    </row>
    <row r="693" spans="1:5" ht="25.5" x14ac:dyDescent="0.2">
      <c r="B693" s="119" t="s">
        <v>1453</v>
      </c>
      <c r="C693" s="367" t="s">
        <v>831</v>
      </c>
      <c r="D693" s="142" t="s">
        <v>905</v>
      </c>
      <c r="E693" s="140">
        <v>459360</v>
      </c>
    </row>
    <row r="694" spans="1:5" ht="25.5" x14ac:dyDescent="0.2">
      <c r="B694" s="119" t="s">
        <v>1454</v>
      </c>
      <c r="C694" s="367" t="s">
        <v>832</v>
      </c>
      <c r="D694" s="142" t="s">
        <v>905</v>
      </c>
      <c r="E694" s="140">
        <v>344520</v>
      </c>
    </row>
    <row r="695" spans="1:5" ht="25.5" x14ac:dyDescent="0.2">
      <c r="B695" s="119" t="s">
        <v>1455</v>
      </c>
      <c r="C695" s="367" t="s">
        <v>833</v>
      </c>
      <c r="D695" s="142" t="s">
        <v>905</v>
      </c>
      <c r="E695" s="140">
        <v>276080</v>
      </c>
    </row>
    <row r="696" spans="1:5" x14ac:dyDescent="0.2">
      <c r="B696" s="119" t="s">
        <v>1456</v>
      </c>
      <c r="C696" s="336" t="s">
        <v>834</v>
      </c>
      <c r="D696" s="142" t="s">
        <v>905</v>
      </c>
      <c r="E696" s="140">
        <v>41760</v>
      </c>
    </row>
    <row r="697" spans="1:5" x14ac:dyDescent="0.2">
      <c r="B697" s="119" t="s">
        <v>1457</v>
      </c>
      <c r="C697" s="336" t="s">
        <v>835</v>
      </c>
      <c r="D697" s="142" t="s">
        <v>905</v>
      </c>
      <c r="E697" s="140">
        <v>2296800</v>
      </c>
    </row>
    <row r="698" spans="1:5" x14ac:dyDescent="0.2">
      <c r="B698" s="119" t="s">
        <v>1458</v>
      </c>
      <c r="C698" s="336" t="s">
        <v>836</v>
      </c>
      <c r="D698" s="142" t="s">
        <v>905</v>
      </c>
      <c r="E698" s="140">
        <v>1378080</v>
      </c>
    </row>
    <row r="699" spans="1:5" x14ac:dyDescent="0.2">
      <c r="B699" s="119" t="s">
        <v>1459</v>
      </c>
      <c r="C699" s="149" t="s">
        <v>837</v>
      </c>
      <c r="D699" s="134" t="s">
        <v>905</v>
      </c>
      <c r="E699" s="140">
        <v>63800</v>
      </c>
    </row>
    <row r="700" spans="1:5" x14ac:dyDescent="0.2">
      <c r="B700" s="119" t="s">
        <v>869</v>
      </c>
      <c r="C700" s="149" t="s">
        <v>870</v>
      </c>
      <c r="D700" s="134" t="s">
        <v>905</v>
      </c>
      <c r="E700" s="140">
        <v>5000</v>
      </c>
    </row>
    <row r="701" spans="1:5" x14ac:dyDescent="0.2">
      <c r="B701" s="119" t="s">
        <v>427</v>
      </c>
      <c r="C701" s="120" t="s">
        <v>428</v>
      </c>
      <c r="D701" s="134" t="s">
        <v>905</v>
      </c>
      <c r="E701" s="140">
        <v>1200</v>
      </c>
    </row>
    <row r="702" spans="1:5" x14ac:dyDescent="0.2">
      <c r="B702" s="119" t="s">
        <v>432</v>
      </c>
      <c r="C702" s="120" t="s">
        <v>434</v>
      </c>
      <c r="D702" s="129" t="s">
        <v>905</v>
      </c>
      <c r="E702" s="133">
        <v>1200</v>
      </c>
    </row>
    <row r="703" spans="1:5" x14ac:dyDescent="0.2">
      <c r="B703" s="119" t="s">
        <v>433</v>
      </c>
      <c r="C703" s="120" t="s">
        <v>435</v>
      </c>
      <c r="D703" s="129" t="s">
        <v>905</v>
      </c>
      <c r="E703" s="133">
        <v>1000</v>
      </c>
    </row>
    <row r="704" spans="1:5" x14ac:dyDescent="0.2">
      <c r="B704" s="119" t="s">
        <v>886</v>
      </c>
      <c r="C704" s="120" t="s">
        <v>887</v>
      </c>
      <c r="D704" s="134" t="s">
        <v>905</v>
      </c>
      <c r="E704" s="140">
        <v>2234</v>
      </c>
    </row>
    <row r="705" spans="2:5" x14ac:dyDescent="0.2">
      <c r="B705" s="119" t="s">
        <v>888</v>
      </c>
      <c r="C705" s="120" t="s">
        <v>889</v>
      </c>
      <c r="D705" s="134" t="s">
        <v>905</v>
      </c>
      <c r="E705" s="140">
        <v>1250</v>
      </c>
    </row>
    <row r="706" spans="2:5" x14ac:dyDescent="0.2">
      <c r="B706" s="119" t="s">
        <v>890</v>
      </c>
      <c r="C706" s="120" t="s">
        <v>891</v>
      </c>
      <c r="D706" s="134" t="s">
        <v>905</v>
      </c>
      <c r="E706" s="140">
        <v>90000</v>
      </c>
    </row>
    <row r="707" spans="2:5" x14ac:dyDescent="0.2">
      <c r="B707" s="119" t="s">
        <v>892</v>
      </c>
      <c r="C707" s="120" t="s">
        <v>893</v>
      </c>
      <c r="D707" s="134" t="s">
        <v>905</v>
      </c>
      <c r="E707" s="140">
        <v>61000</v>
      </c>
    </row>
    <row r="708" spans="2:5" x14ac:dyDescent="0.2">
      <c r="B708" s="119" t="s">
        <v>894</v>
      </c>
      <c r="C708" s="120" t="s">
        <v>895</v>
      </c>
      <c r="D708" s="134" t="s">
        <v>905</v>
      </c>
      <c r="E708" s="140">
        <v>1100</v>
      </c>
    </row>
    <row r="709" spans="2:5" x14ac:dyDescent="0.2">
      <c r="B709" s="119" t="s">
        <v>896</v>
      </c>
      <c r="C709" s="120" t="s">
        <v>897</v>
      </c>
      <c r="D709" s="134" t="s">
        <v>905</v>
      </c>
      <c r="E709" s="140">
        <v>5500</v>
      </c>
    </row>
    <row r="710" spans="2:5" x14ac:dyDescent="0.2">
      <c r="B710" s="119" t="s">
        <v>898</v>
      </c>
      <c r="C710" s="120" t="s">
        <v>899</v>
      </c>
      <c r="D710" s="134" t="s">
        <v>905</v>
      </c>
      <c r="E710" s="140">
        <v>45000</v>
      </c>
    </row>
    <row r="711" spans="2:5" ht="25.5" x14ac:dyDescent="0.2">
      <c r="B711" s="119" t="s">
        <v>900</v>
      </c>
      <c r="C711" s="155" t="s">
        <v>902</v>
      </c>
      <c r="D711" s="134" t="s">
        <v>905</v>
      </c>
      <c r="E711" s="140">
        <v>188600</v>
      </c>
    </row>
    <row r="712" spans="2:5" ht="26.25" thickBot="1" x14ac:dyDescent="0.25">
      <c r="B712" s="276" t="s">
        <v>901</v>
      </c>
      <c r="C712" s="156" t="s">
        <v>903</v>
      </c>
      <c r="D712" s="148" t="s">
        <v>905</v>
      </c>
      <c r="E712" s="145">
        <v>332000</v>
      </c>
    </row>
    <row r="713" spans="2:5" ht="13.5" thickBot="1" x14ac:dyDescent="0.25">
      <c r="B713" s="276">
        <v>25.42</v>
      </c>
      <c r="C713" s="236" t="s">
        <v>2079</v>
      </c>
      <c r="D713" s="368" t="s">
        <v>905</v>
      </c>
      <c r="E713" s="145">
        <v>884000</v>
      </c>
    </row>
    <row r="714" spans="2:5" ht="13.5" thickBot="1" x14ac:dyDescent="0.25">
      <c r="B714" s="276">
        <v>25.44</v>
      </c>
      <c r="C714" s="236" t="s">
        <v>2080</v>
      </c>
      <c r="D714" s="368" t="s">
        <v>905</v>
      </c>
      <c r="E714" s="145"/>
    </row>
    <row r="715" spans="2:5" ht="25.5" x14ac:dyDescent="0.2">
      <c r="B715" s="277" t="s">
        <v>2091</v>
      </c>
      <c r="C715" s="155" t="s">
        <v>2090</v>
      </c>
      <c r="D715" s="134" t="s">
        <v>905</v>
      </c>
      <c r="E715" s="140">
        <v>100000</v>
      </c>
    </row>
    <row r="716" spans="2:5" ht="13.5" thickBot="1" x14ac:dyDescent="0.25">
      <c r="B716" s="369">
        <v>26</v>
      </c>
      <c r="C716" s="370" t="s">
        <v>838</v>
      </c>
      <c r="D716" s="371"/>
      <c r="E716" s="372"/>
    </row>
    <row r="717" spans="2:5" x14ac:dyDescent="0.2">
      <c r="B717" s="143" t="s">
        <v>1460</v>
      </c>
      <c r="C717" s="127" t="s">
        <v>839</v>
      </c>
      <c r="D717" s="128" t="s">
        <v>1265</v>
      </c>
      <c r="E717" s="132">
        <v>114614</v>
      </c>
    </row>
    <row r="718" spans="2:5" x14ac:dyDescent="0.2">
      <c r="B718" s="137" t="s">
        <v>1461</v>
      </c>
      <c r="C718" s="122" t="s">
        <v>840</v>
      </c>
      <c r="D718" s="121" t="s">
        <v>1265</v>
      </c>
      <c r="E718" s="133">
        <v>143237</v>
      </c>
    </row>
    <row r="719" spans="2:5" x14ac:dyDescent="0.2">
      <c r="B719" s="137" t="s">
        <v>1462</v>
      </c>
      <c r="C719" s="122" t="s">
        <v>841</v>
      </c>
      <c r="D719" s="121" t="s">
        <v>1265</v>
      </c>
      <c r="E719" s="133">
        <v>176245</v>
      </c>
    </row>
    <row r="720" spans="2:5" x14ac:dyDescent="0.2">
      <c r="B720" s="137" t="s">
        <v>1463</v>
      </c>
      <c r="C720" s="122" t="s">
        <v>842</v>
      </c>
      <c r="D720" s="121" t="s">
        <v>1265</v>
      </c>
      <c r="E720" s="133">
        <v>208765</v>
      </c>
    </row>
    <row r="721" spans="2:5" x14ac:dyDescent="0.2">
      <c r="B721" s="137" t="s">
        <v>1464</v>
      </c>
      <c r="C721" s="122" t="s">
        <v>843</v>
      </c>
      <c r="D721" s="121" t="s">
        <v>1265</v>
      </c>
      <c r="E721" s="133">
        <v>375592</v>
      </c>
    </row>
    <row r="722" spans="2:5" ht="13.5" thickBot="1" x14ac:dyDescent="0.25">
      <c r="B722" s="137" t="s">
        <v>1465</v>
      </c>
      <c r="C722" s="122" t="s">
        <v>844</v>
      </c>
      <c r="D722" s="121" t="s">
        <v>1265</v>
      </c>
      <c r="E722" s="133">
        <v>602362</v>
      </c>
    </row>
    <row r="723" spans="2:5" ht="13.5" thickBot="1" x14ac:dyDescent="0.25">
      <c r="B723" s="373">
        <v>27</v>
      </c>
      <c r="C723" s="374" t="s">
        <v>845</v>
      </c>
      <c r="D723" s="375"/>
      <c r="E723" s="376"/>
    </row>
    <row r="724" spans="2:5" x14ac:dyDescent="0.2">
      <c r="B724" s="137" t="s">
        <v>1466</v>
      </c>
      <c r="C724" s="122" t="s">
        <v>846</v>
      </c>
      <c r="D724" s="121" t="s">
        <v>1265</v>
      </c>
      <c r="E724" s="133">
        <v>118290</v>
      </c>
    </row>
    <row r="725" spans="2:5" x14ac:dyDescent="0.2">
      <c r="B725" s="137" t="s">
        <v>1467</v>
      </c>
      <c r="C725" s="122" t="s">
        <v>847</v>
      </c>
      <c r="D725" s="121" t="s">
        <v>1265</v>
      </c>
      <c r="E725" s="133">
        <v>152592</v>
      </c>
    </row>
    <row r="726" spans="2:5" x14ac:dyDescent="0.2">
      <c r="B726" s="137" t="s">
        <v>1468</v>
      </c>
      <c r="C726" s="122" t="s">
        <v>848</v>
      </c>
      <c r="D726" s="121" t="s">
        <v>1265</v>
      </c>
      <c r="E726" s="133">
        <v>174570</v>
      </c>
    </row>
    <row r="727" spans="2:5" x14ac:dyDescent="0.2">
      <c r="B727" s="137" t="s">
        <v>1469</v>
      </c>
      <c r="C727" s="122" t="s">
        <v>849</v>
      </c>
      <c r="D727" s="121" t="s">
        <v>1265</v>
      </c>
      <c r="E727" s="133">
        <v>75978</v>
      </c>
    </row>
    <row r="728" spans="2:5" x14ac:dyDescent="0.2">
      <c r="B728" s="137" t="s">
        <v>1470</v>
      </c>
      <c r="C728" s="122" t="s">
        <v>850</v>
      </c>
      <c r="D728" s="121" t="s">
        <v>1265</v>
      </c>
      <c r="E728" s="133">
        <v>95095</v>
      </c>
    </row>
    <row r="729" spans="2:5" x14ac:dyDescent="0.2">
      <c r="B729" s="137" t="s">
        <v>1471</v>
      </c>
      <c r="C729" s="122" t="s">
        <v>851</v>
      </c>
      <c r="D729" s="121" t="s">
        <v>1265</v>
      </c>
      <c r="E729" s="133">
        <v>112027</v>
      </c>
    </row>
    <row r="730" spans="2:5" x14ac:dyDescent="0.2">
      <c r="B730" s="137" t="s">
        <v>1472</v>
      </c>
      <c r="C730" s="122" t="s">
        <v>852</v>
      </c>
      <c r="D730" s="121" t="s">
        <v>1265</v>
      </c>
      <c r="E730" s="133">
        <v>48470</v>
      </c>
    </row>
    <row r="731" spans="2:5" x14ac:dyDescent="0.2">
      <c r="B731" s="137" t="s">
        <v>1473</v>
      </c>
      <c r="C731" s="122" t="s">
        <v>853</v>
      </c>
      <c r="D731" s="121" t="s">
        <v>1265</v>
      </c>
      <c r="E731" s="133">
        <v>60568</v>
      </c>
    </row>
    <row r="732" spans="2:5" x14ac:dyDescent="0.2">
      <c r="B732" s="137" t="s">
        <v>1474</v>
      </c>
      <c r="C732" s="122" t="s">
        <v>854</v>
      </c>
      <c r="D732" s="121" t="s">
        <v>1265</v>
      </c>
      <c r="E732" s="133">
        <v>71474</v>
      </c>
    </row>
    <row r="733" spans="2:5" x14ac:dyDescent="0.2">
      <c r="B733" s="137" t="s">
        <v>1475</v>
      </c>
      <c r="C733" s="122" t="s">
        <v>855</v>
      </c>
      <c r="D733" s="121" t="s">
        <v>1265</v>
      </c>
      <c r="E733" s="133">
        <v>23135</v>
      </c>
    </row>
    <row r="734" spans="2:5" x14ac:dyDescent="0.2">
      <c r="B734" s="137" t="s">
        <v>1476</v>
      </c>
      <c r="C734" s="122" t="s">
        <v>856</v>
      </c>
      <c r="D734" s="121" t="s">
        <v>1265</v>
      </c>
      <c r="E734" s="133">
        <v>28625</v>
      </c>
    </row>
    <row r="735" spans="2:5" x14ac:dyDescent="0.2">
      <c r="B735" s="137" t="s">
        <v>1477</v>
      </c>
      <c r="C735" s="122" t="s">
        <v>857</v>
      </c>
      <c r="D735" s="121" t="s">
        <v>1265</v>
      </c>
      <c r="E735" s="133">
        <v>33763</v>
      </c>
    </row>
    <row r="736" spans="2:5" x14ac:dyDescent="0.2">
      <c r="B736" s="137" t="s">
        <v>1478</v>
      </c>
      <c r="C736" s="122" t="s">
        <v>1541</v>
      </c>
      <c r="D736" s="121" t="s">
        <v>1265</v>
      </c>
      <c r="E736" s="133">
        <v>15538</v>
      </c>
    </row>
    <row r="737" spans="2:5" x14ac:dyDescent="0.2">
      <c r="B737" s="137" t="s">
        <v>1479</v>
      </c>
      <c r="C737" s="122" t="s">
        <v>1542</v>
      </c>
      <c r="D737" s="121" t="s">
        <v>1265</v>
      </c>
      <c r="E737" s="133">
        <v>19190</v>
      </c>
    </row>
    <row r="738" spans="2:5" x14ac:dyDescent="0.2">
      <c r="B738" s="137" t="s">
        <v>1480</v>
      </c>
      <c r="C738" s="122" t="s">
        <v>1543</v>
      </c>
      <c r="D738" s="121" t="s">
        <v>1265</v>
      </c>
      <c r="E738" s="133">
        <v>22637</v>
      </c>
    </row>
    <row r="739" spans="2:5" x14ac:dyDescent="0.2">
      <c r="B739" s="137" t="s">
        <v>1481</v>
      </c>
      <c r="C739" s="122" t="s">
        <v>1544</v>
      </c>
      <c r="D739" s="121" t="s">
        <v>1265</v>
      </c>
      <c r="E739" s="133">
        <v>10916</v>
      </c>
    </row>
    <row r="740" spans="2:5" x14ac:dyDescent="0.2">
      <c r="B740" s="137" t="s">
        <v>1482</v>
      </c>
      <c r="C740" s="122" t="s">
        <v>1545</v>
      </c>
      <c r="D740" s="121" t="s">
        <v>1265</v>
      </c>
      <c r="E740" s="133">
        <v>13392</v>
      </c>
    </row>
    <row r="741" spans="2:5" x14ac:dyDescent="0.2">
      <c r="B741" s="137" t="s">
        <v>1483</v>
      </c>
      <c r="C741" s="122" t="s">
        <v>1546</v>
      </c>
      <c r="D741" s="121" t="s">
        <v>1265</v>
      </c>
      <c r="E741" s="133">
        <v>15961</v>
      </c>
    </row>
    <row r="742" spans="2:5" x14ac:dyDescent="0.2">
      <c r="B742" s="137" t="s">
        <v>1484</v>
      </c>
      <c r="C742" s="122" t="s">
        <v>1547</v>
      </c>
      <c r="D742" s="121" t="s">
        <v>1265</v>
      </c>
      <c r="E742" s="133">
        <v>7468</v>
      </c>
    </row>
    <row r="743" spans="2:5" x14ac:dyDescent="0.2">
      <c r="B743" s="137" t="s">
        <v>1485</v>
      </c>
      <c r="C743" s="122" t="s">
        <v>1548</v>
      </c>
      <c r="D743" s="121" t="s">
        <v>1265</v>
      </c>
      <c r="E743" s="133">
        <v>9458</v>
      </c>
    </row>
    <row r="744" spans="2:5" x14ac:dyDescent="0.2">
      <c r="B744" s="137" t="s">
        <v>1486</v>
      </c>
      <c r="C744" s="122" t="s">
        <v>1549</v>
      </c>
      <c r="D744" s="121" t="s">
        <v>1265</v>
      </c>
      <c r="E744" s="133">
        <v>11131</v>
      </c>
    </row>
    <row r="745" spans="2:5" x14ac:dyDescent="0.2">
      <c r="B745" s="137" t="s">
        <v>1487</v>
      </c>
      <c r="C745" s="122" t="s">
        <v>1550</v>
      </c>
      <c r="D745" s="121" t="s">
        <v>1265</v>
      </c>
      <c r="E745" s="133">
        <v>5046</v>
      </c>
    </row>
    <row r="746" spans="2:5" x14ac:dyDescent="0.2">
      <c r="B746" s="137" t="s">
        <v>1488</v>
      </c>
      <c r="C746" s="122" t="s">
        <v>1551</v>
      </c>
      <c r="D746" s="121" t="s">
        <v>1265</v>
      </c>
      <c r="E746" s="133">
        <v>7091</v>
      </c>
    </row>
    <row r="747" spans="2:5" x14ac:dyDescent="0.2">
      <c r="B747" s="137" t="s">
        <v>1489</v>
      </c>
      <c r="C747" s="120" t="s">
        <v>1552</v>
      </c>
      <c r="D747" s="121" t="s">
        <v>1265</v>
      </c>
      <c r="E747" s="133">
        <v>3799</v>
      </c>
    </row>
    <row r="748" spans="2:5" x14ac:dyDescent="0.2">
      <c r="B748" s="137" t="s">
        <v>1490</v>
      </c>
      <c r="C748" s="377" t="s">
        <v>1553</v>
      </c>
      <c r="D748" s="121" t="s">
        <v>1265</v>
      </c>
      <c r="E748" s="133">
        <v>1354</v>
      </c>
    </row>
    <row r="749" spans="2:5" x14ac:dyDescent="0.2">
      <c r="B749" s="137" t="s">
        <v>1491</v>
      </c>
      <c r="C749" s="377" t="s">
        <v>1554</v>
      </c>
      <c r="D749" s="121" t="s">
        <v>1265</v>
      </c>
      <c r="E749" s="133">
        <v>3336</v>
      </c>
    </row>
    <row r="750" spans="2:5" ht="13.5" thickBot="1" x14ac:dyDescent="0.25">
      <c r="B750" s="378" t="s">
        <v>2159</v>
      </c>
      <c r="C750" s="379" t="s">
        <v>2158</v>
      </c>
      <c r="D750" s="380"/>
      <c r="E750" s="303"/>
    </row>
    <row r="751" spans="2:5" ht="13.5" thickBot="1" x14ac:dyDescent="0.25">
      <c r="B751" s="373">
        <v>28</v>
      </c>
      <c r="C751" s="374" t="s">
        <v>1555</v>
      </c>
      <c r="D751" s="375"/>
      <c r="E751" s="376"/>
    </row>
    <row r="752" spans="2:5" x14ac:dyDescent="0.2">
      <c r="B752" s="143" t="s">
        <v>1492</v>
      </c>
      <c r="C752" s="135" t="s">
        <v>1556</v>
      </c>
      <c r="D752" s="141" t="s">
        <v>1265</v>
      </c>
      <c r="E752" s="144">
        <v>348650</v>
      </c>
    </row>
    <row r="753" spans="2:5" x14ac:dyDescent="0.2">
      <c r="B753" s="137" t="s">
        <v>1493</v>
      </c>
      <c r="C753" s="120" t="s">
        <v>1557</v>
      </c>
      <c r="D753" s="142" t="s">
        <v>1265</v>
      </c>
      <c r="E753" s="140">
        <v>192119</v>
      </c>
    </row>
    <row r="754" spans="2:5" x14ac:dyDescent="0.2">
      <c r="B754" s="137" t="s">
        <v>1494</v>
      </c>
      <c r="C754" s="120" t="s">
        <v>1558</v>
      </c>
      <c r="D754" s="142" t="s">
        <v>1265</v>
      </c>
      <c r="E754" s="140">
        <v>319093</v>
      </c>
    </row>
    <row r="755" spans="2:5" x14ac:dyDescent="0.2">
      <c r="B755" s="137" t="s">
        <v>1495</v>
      </c>
      <c r="C755" s="120" t="s">
        <v>1559</v>
      </c>
      <c r="D755" s="142" t="s">
        <v>1265</v>
      </c>
      <c r="E755" s="140">
        <v>383567</v>
      </c>
    </row>
    <row r="756" spans="2:5" x14ac:dyDescent="0.2">
      <c r="B756" s="137" t="s">
        <v>1496</v>
      </c>
      <c r="C756" s="120" t="s">
        <v>1560</v>
      </c>
      <c r="D756" s="142" t="s">
        <v>1265</v>
      </c>
      <c r="E756" s="140">
        <v>298280</v>
      </c>
    </row>
    <row r="757" spans="2:5" x14ac:dyDescent="0.2">
      <c r="B757" s="137" t="s">
        <v>1497</v>
      </c>
      <c r="C757" s="120" t="s">
        <v>1561</v>
      </c>
      <c r="D757" s="134" t="s">
        <v>905</v>
      </c>
      <c r="E757" s="140">
        <v>186992</v>
      </c>
    </row>
    <row r="758" spans="2:5" x14ac:dyDescent="0.2">
      <c r="B758" s="137" t="s">
        <v>1498</v>
      </c>
      <c r="C758" s="120" t="s">
        <v>1562</v>
      </c>
      <c r="D758" s="134" t="s">
        <v>905</v>
      </c>
      <c r="E758" s="140">
        <v>383032</v>
      </c>
    </row>
    <row r="759" spans="2:5" x14ac:dyDescent="0.2">
      <c r="B759" s="137" t="s">
        <v>1499</v>
      </c>
      <c r="C759" s="120" t="s">
        <v>1563</v>
      </c>
      <c r="D759" s="134" t="s">
        <v>905</v>
      </c>
      <c r="E759" s="140">
        <v>364426</v>
      </c>
    </row>
    <row r="760" spans="2:5" x14ac:dyDescent="0.2">
      <c r="B760" s="137" t="s">
        <v>1500</v>
      </c>
      <c r="C760" s="120" t="s">
        <v>1562</v>
      </c>
      <c r="D760" s="134" t="s">
        <v>905</v>
      </c>
      <c r="E760" s="140">
        <v>342024</v>
      </c>
    </row>
    <row r="761" spans="2:5" x14ac:dyDescent="0.2">
      <c r="B761" s="137" t="s">
        <v>1501</v>
      </c>
      <c r="C761" s="120" t="s">
        <v>1564</v>
      </c>
      <c r="D761" s="134" t="s">
        <v>905</v>
      </c>
      <c r="E761" s="140">
        <v>488592</v>
      </c>
    </row>
    <row r="762" spans="2:5" x14ac:dyDescent="0.2">
      <c r="B762" s="137" t="s">
        <v>1502</v>
      </c>
      <c r="C762" s="120" t="s">
        <v>1565</v>
      </c>
      <c r="D762" s="134" t="s">
        <v>905</v>
      </c>
      <c r="E762" s="140">
        <v>844480</v>
      </c>
    </row>
    <row r="763" spans="2:5" x14ac:dyDescent="0.2">
      <c r="B763" s="137" t="s">
        <v>1503</v>
      </c>
      <c r="C763" s="120" t="s">
        <v>1566</v>
      </c>
      <c r="D763" s="134" t="s">
        <v>905</v>
      </c>
      <c r="E763" s="140">
        <v>715395</v>
      </c>
    </row>
    <row r="764" spans="2:5" x14ac:dyDescent="0.2">
      <c r="B764" s="137" t="s">
        <v>1504</v>
      </c>
      <c r="C764" s="120" t="s">
        <v>1567</v>
      </c>
      <c r="D764" s="134" t="s">
        <v>905</v>
      </c>
      <c r="E764" s="140">
        <v>1308341</v>
      </c>
    </row>
    <row r="765" spans="2:5" x14ac:dyDescent="0.2">
      <c r="B765" s="137" t="s">
        <v>1505</v>
      </c>
      <c r="C765" s="120" t="s">
        <v>1568</v>
      </c>
      <c r="D765" s="134" t="s">
        <v>905</v>
      </c>
      <c r="E765" s="140">
        <v>949556</v>
      </c>
    </row>
    <row r="766" spans="2:5" x14ac:dyDescent="0.2">
      <c r="B766" s="137" t="s">
        <v>1506</v>
      </c>
      <c r="C766" s="120" t="s">
        <v>1569</v>
      </c>
      <c r="D766" s="134" t="s">
        <v>905</v>
      </c>
      <c r="E766" s="140">
        <v>1328055</v>
      </c>
    </row>
    <row r="767" spans="2:5" x14ac:dyDescent="0.2">
      <c r="B767" s="137" t="s">
        <v>1507</v>
      </c>
      <c r="C767" s="120" t="s">
        <v>1570</v>
      </c>
      <c r="D767" s="134" t="s">
        <v>905</v>
      </c>
      <c r="E767" s="140">
        <v>1511246</v>
      </c>
    </row>
    <row r="768" spans="2:5" x14ac:dyDescent="0.2">
      <c r="B768" s="137" t="s">
        <v>1508</v>
      </c>
      <c r="C768" s="120" t="s">
        <v>1571</v>
      </c>
      <c r="D768" s="134" t="s">
        <v>905</v>
      </c>
      <c r="E768" s="140">
        <v>2604049</v>
      </c>
    </row>
    <row r="769" spans="2:5" x14ac:dyDescent="0.2">
      <c r="B769" s="137" t="s">
        <v>1509</v>
      </c>
      <c r="C769" s="120" t="s">
        <v>1572</v>
      </c>
      <c r="D769" s="134" t="s">
        <v>905</v>
      </c>
      <c r="E769" s="140">
        <v>2618816</v>
      </c>
    </row>
    <row r="770" spans="2:5" x14ac:dyDescent="0.2">
      <c r="B770" s="137" t="s">
        <v>1510</v>
      </c>
      <c r="C770" s="120" t="s">
        <v>1573</v>
      </c>
      <c r="D770" s="134" t="s">
        <v>905</v>
      </c>
      <c r="E770" s="140">
        <v>757564</v>
      </c>
    </row>
    <row r="771" spans="2:5" x14ac:dyDescent="0.2">
      <c r="B771" s="137" t="s">
        <v>1511</v>
      </c>
      <c r="C771" s="120" t="s">
        <v>1574</v>
      </c>
      <c r="D771" s="134" t="s">
        <v>905</v>
      </c>
      <c r="E771" s="140">
        <v>922707</v>
      </c>
    </row>
    <row r="772" spans="2:5" x14ac:dyDescent="0.2">
      <c r="B772" s="137" t="s">
        <v>1512</v>
      </c>
      <c r="C772" s="120" t="s">
        <v>1575</v>
      </c>
      <c r="D772" s="134" t="s">
        <v>905</v>
      </c>
      <c r="E772" s="140">
        <v>1430063</v>
      </c>
    </row>
    <row r="773" spans="2:5" x14ac:dyDescent="0.2">
      <c r="B773" s="137" t="s">
        <v>1513</v>
      </c>
      <c r="C773" s="120" t="s">
        <v>1576</v>
      </c>
      <c r="D773" s="134" t="s">
        <v>905</v>
      </c>
      <c r="E773" s="140">
        <v>1889271</v>
      </c>
    </row>
    <row r="774" spans="2:5" x14ac:dyDescent="0.2">
      <c r="B774" s="137" t="s">
        <v>1514</v>
      </c>
      <c r="C774" s="120" t="s">
        <v>1577</v>
      </c>
      <c r="D774" s="134" t="s">
        <v>905</v>
      </c>
      <c r="E774" s="140">
        <v>1051502</v>
      </c>
    </row>
    <row r="775" spans="2:5" x14ac:dyDescent="0.2">
      <c r="B775" s="137" t="s">
        <v>1515</v>
      </c>
      <c r="C775" s="120" t="s">
        <v>1578</v>
      </c>
      <c r="D775" s="134" t="s">
        <v>1265</v>
      </c>
      <c r="E775" s="140">
        <v>22000</v>
      </c>
    </row>
    <row r="776" spans="2:5" x14ac:dyDescent="0.2">
      <c r="B776" s="137" t="s">
        <v>1516</v>
      </c>
      <c r="C776" s="120" t="s">
        <v>1579</v>
      </c>
      <c r="D776" s="134" t="s">
        <v>1265</v>
      </c>
      <c r="E776" s="140">
        <v>18000</v>
      </c>
    </row>
    <row r="777" spans="2:5" ht="13.5" thickBot="1" x14ac:dyDescent="0.25">
      <c r="B777" s="139" t="s">
        <v>1517</v>
      </c>
      <c r="C777" s="124" t="s">
        <v>1580</v>
      </c>
      <c r="D777" s="148" t="s">
        <v>936</v>
      </c>
      <c r="E777" s="145">
        <v>100276</v>
      </c>
    </row>
    <row r="778" spans="2:5" ht="13.5" thickBot="1" x14ac:dyDescent="0.25">
      <c r="B778" s="373">
        <v>29</v>
      </c>
      <c r="C778" s="374" t="s">
        <v>436</v>
      </c>
      <c r="D778" s="375"/>
      <c r="E778" s="376"/>
    </row>
    <row r="779" spans="2:5" x14ac:dyDescent="0.2">
      <c r="B779" s="381" t="s">
        <v>437</v>
      </c>
      <c r="C779" s="382" t="s">
        <v>438</v>
      </c>
      <c r="D779" s="383" t="s">
        <v>905</v>
      </c>
      <c r="E779" s="384">
        <v>415357</v>
      </c>
    </row>
    <row r="780" spans="2:5" x14ac:dyDescent="0.2">
      <c r="B780" s="385" t="s">
        <v>441</v>
      </c>
      <c r="C780" s="386" t="s">
        <v>442</v>
      </c>
      <c r="D780" s="366" t="s">
        <v>904</v>
      </c>
      <c r="E780" s="387">
        <v>296000</v>
      </c>
    </row>
    <row r="781" spans="2:5" x14ac:dyDescent="0.2">
      <c r="B781" s="385" t="s">
        <v>443</v>
      </c>
      <c r="C781" s="386" t="s">
        <v>444</v>
      </c>
      <c r="D781" s="366" t="s">
        <v>1265</v>
      </c>
      <c r="E781" s="387">
        <v>7153</v>
      </c>
    </row>
    <row r="782" spans="2:5" x14ac:dyDescent="0.2">
      <c r="B782" s="385" t="s">
        <v>445</v>
      </c>
      <c r="C782" s="386" t="s">
        <v>446</v>
      </c>
      <c r="D782" s="366" t="s">
        <v>905</v>
      </c>
      <c r="E782" s="387">
        <v>3828</v>
      </c>
    </row>
    <row r="783" spans="2:5" x14ac:dyDescent="0.2">
      <c r="B783" s="385" t="s">
        <v>447</v>
      </c>
      <c r="C783" s="386" t="s">
        <v>448</v>
      </c>
      <c r="D783" s="366" t="s">
        <v>905</v>
      </c>
      <c r="E783" s="387">
        <v>10</v>
      </c>
    </row>
    <row r="784" spans="2:5" x14ac:dyDescent="0.2">
      <c r="B784" s="385" t="s">
        <v>449</v>
      </c>
      <c r="C784" s="386" t="s">
        <v>450</v>
      </c>
      <c r="D784" s="366" t="s">
        <v>905</v>
      </c>
      <c r="E784" s="387">
        <v>72</v>
      </c>
    </row>
    <row r="785" spans="2:5" x14ac:dyDescent="0.2">
      <c r="B785" s="385" t="s">
        <v>451</v>
      </c>
      <c r="C785" s="386" t="s">
        <v>452</v>
      </c>
      <c r="D785" s="366" t="s">
        <v>905</v>
      </c>
      <c r="E785" s="387">
        <v>24</v>
      </c>
    </row>
    <row r="786" spans="2:5" ht="13.5" customHeight="1" thickBot="1" x14ac:dyDescent="0.25">
      <c r="B786" s="163" t="s">
        <v>882</v>
      </c>
      <c r="C786" s="166" t="s">
        <v>883</v>
      </c>
      <c r="D786" s="146" t="s">
        <v>905</v>
      </c>
      <c r="E786" s="167">
        <v>126440</v>
      </c>
    </row>
    <row r="787" spans="2:5" ht="13.5" thickBot="1" x14ac:dyDescent="0.25">
      <c r="B787" s="373">
        <v>30</v>
      </c>
      <c r="C787" s="374" t="s">
        <v>168</v>
      </c>
      <c r="D787" s="375"/>
      <c r="E787" s="376"/>
    </row>
    <row r="788" spans="2:5" x14ac:dyDescent="0.2">
      <c r="B788" s="164" t="s">
        <v>161</v>
      </c>
      <c r="C788" s="168" t="s">
        <v>162</v>
      </c>
      <c r="D788" s="141" t="s">
        <v>936</v>
      </c>
      <c r="E788" s="169">
        <v>5800</v>
      </c>
    </row>
    <row r="789" spans="2:5" x14ac:dyDescent="0.2">
      <c r="B789" s="162" t="s">
        <v>164</v>
      </c>
      <c r="C789" s="154" t="s">
        <v>165</v>
      </c>
      <c r="D789" s="142" t="s">
        <v>913</v>
      </c>
      <c r="E789" s="165">
        <v>50000</v>
      </c>
    </row>
    <row r="790" spans="2:5" x14ac:dyDescent="0.2">
      <c r="B790" s="162" t="s">
        <v>166</v>
      </c>
      <c r="C790" s="154" t="s">
        <v>167</v>
      </c>
      <c r="D790" s="142" t="s">
        <v>905</v>
      </c>
      <c r="E790" s="165">
        <v>204200</v>
      </c>
    </row>
    <row r="791" spans="2:5" x14ac:dyDescent="0.2">
      <c r="B791" s="162" t="s">
        <v>172</v>
      </c>
      <c r="C791" s="154" t="s">
        <v>169</v>
      </c>
      <c r="D791" s="142" t="s">
        <v>905</v>
      </c>
      <c r="E791" s="165">
        <v>43450</v>
      </c>
    </row>
    <row r="792" spans="2:5" x14ac:dyDescent="0.2">
      <c r="B792" s="162" t="s">
        <v>173</v>
      </c>
      <c r="C792" s="154" t="s">
        <v>170</v>
      </c>
      <c r="D792" s="142" t="s">
        <v>163</v>
      </c>
      <c r="E792" s="165">
        <v>51500</v>
      </c>
    </row>
    <row r="793" spans="2:5" x14ac:dyDescent="0.2">
      <c r="B793" s="162" t="s">
        <v>174</v>
      </c>
      <c r="C793" s="154" t="s">
        <v>171</v>
      </c>
      <c r="D793" s="142" t="s">
        <v>905</v>
      </c>
      <c r="E793" s="165">
        <v>117600</v>
      </c>
    </row>
    <row r="794" spans="2:5" x14ac:dyDescent="0.2">
      <c r="B794" s="162" t="s">
        <v>177</v>
      </c>
      <c r="C794" s="154" t="s">
        <v>175</v>
      </c>
      <c r="D794" s="142" t="s">
        <v>905</v>
      </c>
      <c r="E794" s="165">
        <v>41800</v>
      </c>
    </row>
    <row r="795" spans="2:5" x14ac:dyDescent="0.2">
      <c r="B795" s="162" t="s">
        <v>178</v>
      </c>
      <c r="C795" s="154" t="s">
        <v>176</v>
      </c>
      <c r="D795" s="142" t="s">
        <v>904</v>
      </c>
      <c r="E795" s="165">
        <v>5100</v>
      </c>
    </row>
    <row r="796" spans="2:5" x14ac:dyDescent="0.2">
      <c r="B796" s="162" t="s">
        <v>215</v>
      </c>
      <c r="C796" s="154"/>
      <c r="D796" s="142"/>
      <c r="E796" s="165"/>
    </row>
    <row r="797" spans="2:5" x14ac:dyDescent="0.2">
      <c r="B797" s="162" t="s">
        <v>216</v>
      </c>
      <c r="C797" s="154"/>
      <c r="D797" s="142"/>
      <c r="E797" s="165"/>
    </row>
    <row r="798" spans="2:5" x14ac:dyDescent="0.2">
      <c r="B798" s="162" t="s">
        <v>217</v>
      </c>
      <c r="C798" s="154"/>
      <c r="D798" s="142"/>
      <c r="E798" s="165"/>
    </row>
    <row r="799" spans="2:5" x14ac:dyDescent="0.2">
      <c r="B799" s="162" t="s">
        <v>218</v>
      </c>
      <c r="C799" s="154"/>
      <c r="D799" s="142"/>
      <c r="E799" s="165"/>
    </row>
    <row r="800" spans="2:5" x14ac:dyDescent="0.2">
      <c r="B800" s="162" t="s">
        <v>219</v>
      </c>
      <c r="C800" s="154"/>
      <c r="D800" s="142"/>
      <c r="E800" s="165"/>
    </row>
    <row r="801" spans="2:5" x14ac:dyDescent="0.2">
      <c r="B801" s="162" t="s">
        <v>220</v>
      </c>
      <c r="C801" s="154"/>
      <c r="D801" s="142"/>
      <c r="E801" s="165"/>
    </row>
    <row r="802" spans="2:5" ht="13.5" thickBot="1" x14ac:dyDescent="0.25">
      <c r="B802" s="163" t="s">
        <v>221</v>
      </c>
      <c r="C802" s="166"/>
      <c r="D802" s="146"/>
      <c r="E802" s="167"/>
    </row>
    <row r="803" spans="2:5" ht="13.5" thickBot="1" x14ac:dyDescent="0.25">
      <c r="B803" s="373">
        <v>40</v>
      </c>
      <c r="C803" s="374" t="s">
        <v>214</v>
      </c>
      <c r="D803" s="375"/>
      <c r="E803" s="376"/>
    </row>
    <row r="804" spans="2:5" x14ac:dyDescent="0.2">
      <c r="B804" s="164" t="s">
        <v>222</v>
      </c>
      <c r="C804" s="168" t="s">
        <v>179</v>
      </c>
      <c r="D804" s="141" t="s">
        <v>905</v>
      </c>
      <c r="E804" s="169">
        <v>368010</v>
      </c>
    </row>
    <row r="805" spans="2:5" x14ac:dyDescent="0.2">
      <c r="B805" s="162" t="s">
        <v>223</v>
      </c>
      <c r="C805" s="154" t="s">
        <v>180</v>
      </c>
      <c r="D805" s="142" t="s">
        <v>905</v>
      </c>
      <c r="E805" s="165">
        <v>537138</v>
      </c>
    </row>
    <row r="806" spans="2:5" x14ac:dyDescent="0.2">
      <c r="B806" s="162" t="s">
        <v>224</v>
      </c>
      <c r="C806" s="154" t="s">
        <v>181</v>
      </c>
      <c r="D806" s="142" t="s">
        <v>905</v>
      </c>
      <c r="E806" s="165">
        <v>345216</v>
      </c>
    </row>
    <row r="807" spans="2:5" x14ac:dyDescent="0.2">
      <c r="B807" s="162" t="s">
        <v>225</v>
      </c>
      <c r="C807" s="154" t="s">
        <v>182</v>
      </c>
      <c r="D807" s="142" t="s">
        <v>905</v>
      </c>
      <c r="E807" s="165">
        <v>395328</v>
      </c>
    </row>
    <row r="808" spans="2:5" x14ac:dyDescent="0.2">
      <c r="B808" s="162" t="s">
        <v>226</v>
      </c>
      <c r="C808" s="154" t="s">
        <v>183</v>
      </c>
      <c r="D808" s="142" t="s">
        <v>905</v>
      </c>
      <c r="E808" s="165">
        <v>445440</v>
      </c>
    </row>
    <row r="809" spans="2:5" x14ac:dyDescent="0.2">
      <c r="B809" s="162" t="s">
        <v>227</v>
      </c>
      <c r="C809" s="154" t="s">
        <v>184</v>
      </c>
      <c r="D809" s="142" t="s">
        <v>905</v>
      </c>
      <c r="E809" s="165">
        <v>645888</v>
      </c>
    </row>
    <row r="810" spans="2:5" x14ac:dyDescent="0.2">
      <c r="B810" s="162" t="s">
        <v>228</v>
      </c>
      <c r="C810" s="154" t="s">
        <v>185</v>
      </c>
      <c r="D810" s="142" t="s">
        <v>905</v>
      </c>
      <c r="E810" s="165">
        <v>457272</v>
      </c>
    </row>
    <row r="811" spans="2:5" x14ac:dyDescent="0.2">
      <c r="B811" s="162" t="s">
        <v>229</v>
      </c>
      <c r="C811" s="154" t="s">
        <v>186</v>
      </c>
      <c r="D811" s="142" t="s">
        <v>905</v>
      </c>
      <c r="E811" s="165">
        <v>560628</v>
      </c>
    </row>
    <row r="812" spans="2:5" x14ac:dyDescent="0.2">
      <c r="B812" s="162" t="s">
        <v>230</v>
      </c>
      <c r="C812" s="154" t="s">
        <v>187</v>
      </c>
      <c r="D812" s="142" t="s">
        <v>905</v>
      </c>
      <c r="E812" s="165">
        <v>710964</v>
      </c>
    </row>
    <row r="813" spans="2:5" x14ac:dyDescent="0.2">
      <c r="B813" s="162" t="s">
        <v>231</v>
      </c>
      <c r="C813" s="154" t="s">
        <v>188</v>
      </c>
      <c r="D813" s="142" t="s">
        <v>905</v>
      </c>
      <c r="E813" s="165">
        <v>723840</v>
      </c>
    </row>
    <row r="814" spans="2:5" x14ac:dyDescent="0.2">
      <c r="B814" s="162" t="s">
        <v>232</v>
      </c>
      <c r="C814" s="154" t="s">
        <v>189</v>
      </c>
      <c r="D814" s="142" t="s">
        <v>905</v>
      </c>
      <c r="E814" s="165">
        <v>953520</v>
      </c>
    </row>
    <row r="815" spans="2:5" x14ac:dyDescent="0.2">
      <c r="B815" s="162" t="s">
        <v>233</v>
      </c>
      <c r="C815" s="154" t="s">
        <v>190</v>
      </c>
      <c r="D815" s="142" t="s">
        <v>905</v>
      </c>
      <c r="E815" s="165">
        <v>2076516</v>
      </c>
    </row>
    <row r="816" spans="2:5" x14ac:dyDescent="0.2">
      <c r="B816" s="162" t="s">
        <v>234</v>
      </c>
      <c r="C816" s="154" t="s">
        <v>191</v>
      </c>
      <c r="D816" s="142" t="s">
        <v>905</v>
      </c>
      <c r="E816" s="165">
        <v>1475172</v>
      </c>
    </row>
    <row r="817" spans="2:5" x14ac:dyDescent="0.2">
      <c r="B817" s="162" t="s">
        <v>235</v>
      </c>
      <c r="C817" s="154" t="s">
        <v>192</v>
      </c>
      <c r="D817" s="142" t="s">
        <v>905</v>
      </c>
      <c r="E817" s="165">
        <v>130500</v>
      </c>
    </row>
    <row r="818" spans="2:5" x14ac:dyDescent="0.2">
      <c r="B818" s="162" t="s">
        <v>236</v>
      </c>
      <c r="C818" s="154" t="s">
        <v>193</v>
      </c>
      <c r="D818" s="142" t="s">
        <v>905</v>
      </c>
      <c r="E818" s="165">
        <v>189173</v>
      </c>
    </row>
    <row r="819" spans="2:5" x14ac:dyDescent="0.2">
      <c r="B819" s="385" t="s">
        <v>237</v>
      </c>
      <c r="C819" s="386" t="s">
        <v>194</v>
      </c>
      <c r="D819" s="366" t="s">
        <v>905</v>
      </c>
      <c r="E819" s="387">
        <v>917676</v>
      </c>
    </row>
    <row r="820" spans="2:5" x14ac:dyDescent="0.2">
      <c r="B820" s="162" t="s">
        <v>238</v>
      </c>
      <c r="C820" s="154" t="s">
        <v>195</v>
      </c>
      <c r="D820" s="142" t="s">
        <v>905</v>
      </c>
      <c r="E820" s="165">
        <v>953520</v>
      </c>
    </row>
    <row r="821" spans="2:5" x14ac:dyDescent="0.2">
      <c r="B821" s="162" t="s">
        <v>239</v>
      </c>
      <c r="C821" s="154" t="s">
        <v>196</v>
      </c>
      <c r="D821" s="142" t="s">
        <v>905</v>
      </c>
      <c r="E821" s="165">
        <v>994410</v>
      </c>
    </row>
    <row r="822" spans="2:5" x14ac:dyDescent="0.2">
      <c r="B822" s="162" t="s">
        <v>240</v>
      </c>
      <c r="C822" s="154" t="s">
        <v>197</v>
      </c>
      <c r="D822" s="142" t="s">
        <v>905</v>
      </c>
      <c r="E822" s="165">
        <v>792396</v>
      </c>
    </row>
    <row r="823" spans="2:5" x14ac:dyDescent="0.2">
      <c r="B823" s="162" t="s">
        <v>241</v>
      </c>
      <c r="C823" s="154" t="s">
        <v>198</v>
      </c>
      <c r="D823" s="142" t="s">
        <v>905</v>
      </c>
      <c r="E823" s="165">
        <v>1663092</v>
      </c>
    </row>
    <row r="824" spans="2:5" x14ac:dyDescent="0.2">
      <c r="B824" s="162" t="s">
        <v>242</v>
      </c>
      <c r="C824" s="154" t="s">
        <v>199</v>
      </c>
      <c r="D824" s="142" t="s">
        <v>905</v>
      </c>
      <c r="E824" s="165">
        <v>2139156</v>
      </c>
    </row>
    <row r="825" spans="2:5" x14ac:dyDescent="0.2">
      <c r="B825" s="162" t="s">
        <v>243</v>
      </c>
      <c r="C825" s="154" t="s">
        <v>200</v>
      </c>
      <c r="D825" s="142" t="s">
        <v>905</v>
      </c>
      <c r="E825" s="165">
        <v>1327968</v>
      </c>
    </row>
    <row r="826" spans="2:5" x14ac:dyDescent="0.2">
      <c r="B826" s="162" t="s">
        <v>244</v>
      </c>
      <c r="C826" s="154" t="s">
        <v>201</v>
      </c>
      <c r="D826" s="142" t="s">
        <v>905</v>
      </c>
      <c r="E826" s="165">
        <v>1919916</v>
      </c>
    </row>
    <row r="827" spans="2:5" x14ac:dyDescent="0.2">
      <c r="B827" s="162" t="s">
        <v>245</v>
      </c>
      <c r="C827" s="154" t="s">
        <v>202</v>
      </c>
      <c r="D827" s="142" t="s">
        <v>905</v>
      </c>
      <c r="E827" s="165">
        <v>1738800</v>
      </c>
    </row>
    <row r="828" spans="2:5" x14ac:dyDescent="0.2">
      <c r="B828" s="162" t="s">
        <v>246</v>
      </c>
      <c r="C828" s="154" t="s">
        <v>203</v>
      </c>
      <c r="D828" s="142" t="s">
        <v>905</v>
      </c>
      <c r="E828" s="165">
        <v>3783456</v>
      </c>
    </row>
    <row r="829" spans="2:5" x14ac:dyDescent="0.2">
      <c r="B829" s="162" t="s">
        <v>247</v>
      </c>
      <c r="C829" s="154" t="s">
        <v>203</v>
      </c>
      <c r="D829" s="142" t="s">
        <v>905</v>
      </c>
      <c r="E829" s="165">
        <v>4583682</v>
      </c>
    </row>
    <row r="830" spans="2:5" x14ac:dyDescent="0.2">
      <c r="B830" s="162" t="s">
        <v>248</v>
      </c>
      <c r="C830" s="154" t="s">
        <v>204</v>
      </c>
      <c r="D830" s="142" t="s">
        <v>905</v>
      </c>
      <c r="E830" s="165">
        <v>1741392</v>
      </c>
    </row>
    <row r="831" spans="2:5" x14ac:dyDescent="0.2">
      <c r="B831" s="162" t="s">
        <v>249</v>
      </c>
      <c r="C831" s="154" t="s">
        <v>205</v>
      </c>
      <c r="D831" s="142" t="s">
        <v>905</v>
      </c>
      <c r="E831" s="165">
        <v>1384344</v>
      </c>
    </row>
    <row r="832" spans="2:5" x14ac:dyDescent="0.2">
      <c r="B832" s="162" t="s">
        <v>250</v>
      </c>
      <c r="C832" s="154" t="s">
        <v>206</v>
      </c>
      <c r="D832" s="142" t="s">
        <v>905</v>
      </c>
      <c r="E832" s="165">
        <v>2289492</v>
      </c>
    </row>
    <row r="833" spans="2:5" x14ac:dyDescent="0.2">
      <c r="B833" s="162" t="s">
        <v>251</v>
      </c>
      <c r="C833" s="154" t="s">
        <v>206</v>
      </c>
      <c r="D833" s="142" t="s">
        <v>905</v>
      </c>
      <c r="E833" s="165">
        <v>2289492</v>
      </c>
    </row>
    <row r="834" spans="2:5" x14ac:dyDescent="0.2">
      <c r="B834" s="162" t="s">
        <v>252</v>
      </c>
      <c r="C834" s="154" t="s">
        <v>207</v>
      </c>
      <c r="D834" s="142" t="s">
        <v>905</v>
      </c>
      <c r="E834" s="165">
        <v>377145</v>
      </c>
    </row>
    <row r="835" spans="2:5" x14ac:dyDescent="0.2">
      <c r="B835" s="162" t="s">
        <v>253</v>
      </c>
      <c r="C835" s="154" t="s">
        <v>208</v>
      </c>
      <c r="D835" s="142" t="s">
        <v>905</v>
      </c>
      <c r="E835" s="165">
        <v>356004</v>
      </c>
    </row>
    <row r="836" spans="2:5" x14ac:dyDescent="0.2">
      <c r="B836" s="162" t="s">
        <v>254</v>
      </c>
      <c r="C836" s="154" t="s">
        <v>209</v>
      </c>
      <c r="D836" s="142" t="s">
        <v>905</v>
      </c>
      <c r="E836" s="165">
        <v>673171</v>
      </c>
    </row>
    <row r="837" spans="2:5" x14ac:dyDescent="0.2">
      <c r="B837" s="162" t="s">
        <v>255</v>
      </c>
      <c r="C837" s="154" t="s">
        <v>210</v>
      </c>
      <c r="D837" s="142" t="s">
        <v>905</v>
      </c>
      <c r="E837" s="165">
        <v>652500</v>
      </c>
    </row>
    <row r="838" spans="2:5" x14ac:dyDescent="0.2">
      <c r="B838" s="162" t="s">
        <v>256</v>
      </c>
      <c r="C838" s="154" t="s">
        <v>211</v>
      </c>
      <c r="D838" s="142" t="s">
        <v>905</v>
      </c>
      <c r="E838" s="165">
        <v>1990953</v>
      </c>
    </row>
    <row r="839" spans="2:5" x14ac:dyDescent="0.2">
      <c r="B839" s="162" t="s">
        <v>257</v>
      </c>
      <c r="C839" s="154" t="s">
        <v>212</v>
      </c>
      <c r="D839" s="142" t="s">
        <v>905</v>
      </c>
      <c r="E839" s="165">
        <v>2965318</v>
      </c>
    </row>
    <row r="840" spans="2:5" x14ac:dyDescent="0.2">
      <c r="B840" s="162" t="s">
        <v>258</v>
      </c>
      <c r="C840" s="154" t="s">
        <v>213</v>
      </c>
      <c r="D840" s="142" t="s">
        <v>905</v>
      </c>
      <c r="E840" s="165">
        <v>2859516</v>
      </c>
    </row>
    <row r="841" spans="2:5" x14ac:dyDescent="0.2">
      <c r="B841" s="162" t="s">
        <v>409</v>
      </c>
      <c r="C841" s="154" t="s">
        <v>410</v>
      </c>
      <c r="D841" s="142" t="s">
        <v>905</v>
      </c>
      <c r="E841" s="165">
        <v>278400</v>
      </c>
    </row>
    <row r="842" spans="2:5" ht="13.5" thickBot="1" x14ac:dyDescent="0.25">
      <c r="B842" s="163" t="s">
        <v>412</v>
      </c>
      <c r="C842" s="166" t="s">
        <v>411</v>
      </c>
      <c r="D842" s="142" t="s">
        <v>905</v>
      </c>
      <c r="E842" s="167">
        <v>501120</v>
      </c>
    </row>
    <row r="843" spans="2:5" ht="13.5" thickBot="1" x14ac:dyDescent="0.25">
      <c r="B843" s="373">
        <v>50</v>
      </c>
      <c r="C843" s="374" t="s">
        <v>333</v>
      </c>
      <c r="D843" s="375"/>
      <c r="E843" s="376"/>
    </row>
    <row r="844" spans="2:5" x14ac:dyDescent="0.2">
      <c r="B844" s="126" t="s">
        <v>334</v>
      </c>
      <c r="C844" s="388" t="s">
        <v>259</v>
      </c>
      <c r="D844" s="141" t="s">
        <v>905</v>
      </c>
      <c r="E844" s="169">
        <v>148770</v>
      </c>
    </row>
    <row r="845" spans="2:5" x14ac:dyDescent="0.2">
      <c r="B845" s="119" t="s">
        <v>335</v>
      </c>
      <c r="C845" s="389" t="s">
        <v>260</v>
      </c>
      <c r="D845" s="142" t="s">
        <v>905</v>
      </c>
      <c r="E845" s="165">
        <v>148016</v>
      </c>
    </row>
    <row r="846" spans="2:5" x14ac:dyDescent="0.2">
      <c r="B846" s="119" t="s">
        <v>336</v>
      </c>
      <c r="C846" s="389" t="s">
        <v>261</v>
      </c>
      <c r="D846" s="142" t="s">
        <v>905</v>
      </c>
      <c r="E846" s="165">
        <v>244482</v>
      </c>
    </row>
    <row r="847" spans="2:5" x14ac:dyDescent="0.2">
      <c r="B847" s="119" t="s">
        <v>337</v>
      </c>
      <c r="C847" s="389" t="s">
        <v>262</v>
      </c>
      <c r="D847" s="142" t="s">
        <v>905</v>
      </c>
      <c r="E847" s="165">
        <v>642060</v>
      </c>
    </row>
    <row r="848" spans="2:5" x14ac:dyDescent="0.2">
      <c r="B848" s="119" t="s">
        <v>338</v>
      </c>
      <c r="C848" s="389" t="s">
        <v>263</v>
      </c>
      <c r="D848" s="142" t="s">
        <v>905</v>
      </c>
      <c r="E848" s="165">
        <v>230985</v>
      </c>
    </row>
    <row r="849" spans="2:5" x14ac:dyDescent="0.2">
      <c r="B849" s="119" t="s">
        <v>339</v>
      </c>
      <c r="C849" s="389" t="s">
        <v>264</v>
      </c>
      <c r="D849" s="142" t="s">
        <v>905</v>
      </c>
      <c r="E849" s="165">
        <v>236443</v>
      </c>
    </row>
    <row r="850" spans="2:5" x14ac:dyDescent="0.2">
      <c r="B850" s="119" t="s">
        <v>340</v>
      </c>
      <c r="C850" s="389" t="s">
        <v>265</v>
      </c>
      <c r="D850" s="142" t="s">
        <v>905</v>
      </c>
      <c r="E850" s="165">
        <v>239888</v>
      </c>
    </row>
    <row r="851" spans="2:5" x14ac:dyDescent="0.2">
      <c r="B851" s="119" t="s">
        <v>341</v>
      </c>
      <c r="C851" s="389" t="s">
        <v>266</v>
      </c>
      <c r="D851" s="142" t="s">
        <v>905</v>
      </c>
      <c r="E851" s="165">
        <v>274340</v>
      </c>
    </row>
    <row r="852" spans="2:5" x14ac:dyDescent="0.2">
      <c r="B852" s="119" t="s">
        <v>342</v>
      </c>
      <c r="C852" s="389" t="s">
        <v>267</v>
      </c>
      <c r="D852" s="142" t="s">
        <v>905</v>
      </c>
      <c r="E852" s="165">
        <v>442395</v>
      </c>
    </row>
    <row r="853" spans="2:5" x14ac:dyDescent="0.2">
      <c r="B853" s="119" t="s">
        <v>343</v>
      </c>
      <c r="C853" s="389" t="s">
        <v>268</v>
      </c>
      <c r="D853" s="142" t="s">
        <v>905</v>
      </c>
      <c r="E853" s="165">
        <v>367360</v>
      </c>
    </row>
    <row r="854" spans="2:5" x14ac:dyDescent="0.2">
      <c r="B854" s="119" t="s">
        <v>344</v>
      </c>
      <c r="C854" s="389" t="s">
        <v>269</v>
      </c>
      <c r="D854" s="142" t="s">
        <v>905</v>
      </c>
      <c r="E854" s="165">
        <v>548100</v>
      </c>
    </row>
    <row r="855" spans="2:5" x14ac:dyDescent="0.2">
      <c r="B855" s="119" t="s">
        <v>345</v>
      </c>
      <c r="C855" s="389" t="s">
        <v>270</v>
      </c>
      <c r="D855" s="142" t="s">
        <v>905</v>
      </c>
      <c r="E855" s="165">
        <v>759510</v>
      </c>
    </row>
    <row r="856" spans="2:5" x14ac:dyDescent="0.2">
      <c r="B856" s="119" t="s">
        <v>346</v>
      </c>
      <c r="C856" s="389" t="s">
        <v>271</v>
      </c>
      <c r="D856" s="142" t="s">
        <v>905</v>
      </c>
      <c r="E856" s="165">
        <v>698100</v>
      </c>
    </row>
    <row r="857" spans="2:5" x14ac:dyDescent="0.2">
      <c r="B857" s="119" t="s">
        <v>347</v>
      </c>
      <c r="C857" s="389" t="s">
        <v>272</v>
      </c>
      <c r="D857" s="142" t="s">
        <v>905</v>
      </c>
      <c r="E857" s="165">
        <v>1182330</v>
      </c>
    </row>
    <row r="858" spans="2:5" x14ac:dyDescent="0.2">
      <c r="B858" s="119" t="s">
        <v>348</v>
      </c>
      <c r="C858" s="389" t="s">
        <v>273</v>
      </c>
      <c r="D858" s="142" t="s">
        <v>905</v>
      </c>
      <c r="E858" s="165">
        <v>336864</v>
      </c>
    </row>
    <row r="859" spans="2:5" x14ac:dyDescent="0.2">
      <c r="B859" s="119" t="s">
        <v>349</v>
      </c>
      <c r="C859" s="389" t="s">
        <v>274</v>
      </c>
      <c r="D859" s="142" t="s">
        <v>905</v>
      </c>
      <c r="E859" s="165">
        <v>475438</v>
      </c>
    </row>
    <row r="860" spans="2:5" x14ac:dyDescent="0.2">
      <c r="B860" s="119" t="s">
        <v>350</v>
      </c>
      <c r="C860" s="389" t="s">
        <v>275</v>
      </c>
      <c r="D860" s="142" t="s">
        <v>905</v>
      </c>
      <c r="E860" s="165">
        <v>405768</v>
      </c>
    </row>
    <row r="861" spans="2:5" x14ac:dyDescent="0.2">
      <c r="B861" s="119" t="s">
        <v>351</v>
      </c>
      <c r="C861" s="389" t="s">
        <v>276</v>
      </c>
      <c r="D861" s="142" t="s">
        <v>905</v>
      </c>
      <c r="E861" s="165">
        <v>543089</v>
      </c>
    </row>
    <row r="862" spans="2:5" x14ac:dyDescent="0.2">
      <c r="B862" s="119" t="s">
        <v>352</v>
      </c>
      <c r="C862" s="389" t="s">
        <v>277</v>
      </c>
      <c r="D862" s="142" t="s">
        <v>905</v>
      </c>
      <c r="E862" s="165">
        <v>610740</v>
      </c>
    </row>
    <row r="863" spans="2:5" x14ac:dyDescent="0.2">
      <c r="B863" s="119" t="s">
        <v>353</v>
      </c>
      <c r="C863" s="389" t="s">
        <v>278</v>
      </c>
      <c r="D863" s="142" t="s">
        <v>905</v>
      </c>
      <c r="E863" s="165">
        <v>554364</v>
      </c>
    </row>
    <row r="864" spans="2:5" x14ac:dyDescent="0.2">
      <c r="B864" s="119" t="s">
        <v>354</v>
      </c>
      <c r="C864" s="389" t="s">
        <v>279</v>
      </c>
      <c r="D864" s="142" t="s">
        <v>905</v>
      </c>
      <c r="E864" s="165">
        <v>751680</v>
      </c>
    </row>
    <row r="865" spans="2:5" x14ac:dyDescent="0.2">
      <c r="B865" s="119" t="s">
        <v>355</v>
      </c>
      <c r="C865" s="389" t="s">
        <v>280</v>
      </c>
      <c r="D865" s="142" t="s">
        <v>905</v>
      </c>
      <c r="E865" s="165">
        <v>681384</v>
      </c>
    </row>
    <row r="866" spans="2:5" x14ac:dyDescent="0.2">
      <c r="B866" s="119" t="s">
        <v>356</v>
      </c>
      <c r="C866" s="389" t="s">
        <v>281</v>
      </c>
      <c r="D866" s="142" t="s">
        <v>905</v>
      </c>
      <c r="E866" s="165">
        <v>1033560</v>
      </c>
    </row>
    <row r="867" spans="2:5" x14ac:dyDescent="0.2">
      <c r="B867" s="119" t="s">
        <v>357</v>
      </c>
      <c r="C867" s="389" t="s">
        <v>282</v>
      </c>
      <c r="D867" s="142" t="s">
        <v>905</v>
      </c>
      <c r="E867" s="165">
        <v>1315440</v>
      </c>
    </row>
    <row r="868" spans="2:5" x14ac:dyDescent="0.2">
      <c r="B868" s="119" t="s">
        <v>358</v>
      </c>
      <c r="C868" s="389" t="s">
        <v>283</v>
      </c>
      <c r="D868" s="142" t="s">
        <v>905</v>
      </c>
      <c r="E868" s="165">
        <v>1628640</v>
      </c>
    </row>
    <row r="869" spans="2:5" x14ac:dyDescent="0.2">
      <c r="B869" s="119" t="s">
        <v>359</v>
      </c>
      <c r="C869" s="389" t="s">
        <v>284</v>
      </c>
      <c r="D869" s="142" t="s">
        <v>905</v>
      </c>
      <c r="E869" s="165">
        <v>1425547</v>
      </c>
    </row>
    <row r="870" spans="2:5" x14ac:dyDescent="0.2">
      <c r="B870" s="119" t="s">
        <v>360</v>
      </c>
      <c r="C870" s="389" t="s">
        <v>285</v>
      </c>
      <c r="D870" s="142" t="s">
        <v>905</v>
      </c>
      <c r="E870" s="165">
        <v>2555712</v>
      </c>
    </row>
    <row r="871" spans="2:5" x14ac:dyDescent="0.2">
      <c r="B871" s="119" t="s">
        <v>361</v>
      </c>
      <c r="C871" s="389" t="s">
        <v>286</v>
      </c>
      <c r="D871" s="142" t="s">
        <v>905</v>
      </c>
      <c r="E871" s="165">
        <v>777676</v>
      </c>
    </row>
    <row r="872" spans="2:5" x14ac:dyDescent="0.2">
      <c r="B872" s="119" t="s">
        <v>362</v>
      </c>
      <c r="C872" s="389" t="s">
        <v>287</v>
      </c>
      <c r="D872" s="142" t="s">
        <v>905</v>
      </c>
      <c r="E872" s="165">
        <v>901703</v>
      </c>
    </row>
    <row r="873" spans="2:5" x14ac:dyDescent="0.2">
      <c r="B873" s="119" t="s">
        <v>363</v>
      </c>
      <c r="C873" s="389" t="s">
        <v>288</v>
      </c>
      <c r="D873" s="142" t="s">
        <v>905</v>
      </c>
      <c r="E873" s="165">
        <v>852623</v>
      </c>
    </row>
    <row r="874" spans="2:5" x14ac:dyDescent="0.2">
      <c r="B874" s="119" t="s">
        <v>364</v>
      </c>
      <c r="C874" s="389" t="s">
        <v>289</v>
      </c>
      <c r="D874" s="142" t="s">
        <v>905</v>
      </c>
      <c r="E874" s="165">
        <v>1284120</v>
      </c>
    </row>
    <row r="875" spans="2:5" x14ac:dyDescent="0.2">
      <c r="B875" s="119" t="s">
        <v>365</v>
      </c>
      <c r="C875" s="389" t="s">
        <v>290</v>
      </c>
      <c r="D875" s="142" t="s">
        <v>905</v>
      </c>
      <c r="E875" s="165">
        <v>1800900</v>
      </c>
    </row>
    <row r="876" spans="2:5" x14ac:dyDescent="0.2">
      <c r="B876" s="119" t="s">
        <v>366</v>
      </c>
      <c r="C876" s="389" t="s">
        <v>291</v>
      </c>
      <c r="D876" s="142" t="s">
        <v>905</v>
      </c>
      <c r="E876" s="165">
        <v>1492665</v>
      </c>
    </row>
    <row r="877" spans="2:5" x14ac:dyDescent="0.2">
      <c r="B877" s="119" t="s">
        <v>367</v>
      </c>
      <c r="C877" s="389" t="s">
        <v>292</v>
      </c>
      <c r="D877" s="142" t="s">
        <v>905</v>
      </c>
      <c r="E877" s="165">
        <v>922374</v>
      </c>
    </row>
    <row r="878" spans="2:5" x14ac:dyDescent="0.2">
      <c r="B878" s="119" t="s">
        <v>368</v>
      </c>
      <c r="C878" s="389" t="s">
        <v>293</v>
      </c>
      <c r="D878" s="142" t="s">
        <v>905</v>
      </c>
      <c r="E878" s="165">
        <v>1025730</v>
      </c>
    </row>
    <row r="879" spans="2:5" x14ac:dyDescent="0.2">
      <c r="B879" s="119" t="s">
        <v>369</v>
      </c>
      <c r="C879" s="389" t="s">
        <v>294</v>
      </c>
      <c r="D879" s="142" t="s">
        <v>905</v>
      </c>
      <c r="E879" s="165">
        <v>767340</v>
      </c>
    </row>
    <row r="880" spans="2:5" x14ac:dyDescent="0.2">
      <c r="B880" s="119" t="s">
        <v>370</v>
      </c>
      <c r="C880" s="389" t="s">
        <v>295</v>
      </c>
      <c r="D880" s="142" t="s">
        <v>905</v>
      </c>
      <c r="E880" s="165">
        <v>715662</v>
      </c>
    </row>
    <row r="881" spans="2:5" x14ac:dyDescent="0.2">
      <c r="B881" s="119" t="s">
        <v>371</v>
      </c>
      <c r="C881" s="389" t="s">
        <v>296</v>
      </c>
      <c r="D881" s="142" t="s">
        <v>905</v>
      </c>
      <c r="E881" s="165">
        <v>2586405.6</v>
      </c>
    </row>
    <row r="882" spans="2:5" x14ac:dyDescent="0.2">
      <c r="B882" s="119" t="s">
        <v>372</v>
      </c>
      <c r="C882" s="389" t="s">
        <v>297</v>
      </c>
      <c r="D882" s="142" t="s">
        <v>905</v>
      </c>
      <c r="E882" s="165">
        <v>3971376</v>
      </c>
    </row>
    <row r="883" spans="2:5" x14ac:dyDescent="0.2">
      <c r="B883" s="119" t="s">
        <v>373</v>
      </c>
      <c r="C883" s="389" t="s">
        <v>298</v>
      </c>
      <c r="D883" s="142" t="s">
        <v>905</v>
      </c>
      <c r="E883" s="165">
        <v>1143180</v>
      </c>
    </row>
    <row r="884" spans="2:5" x14ac:dyDescent="0.2">
      <c r="B884" s="119" t="s">
        <v>374</v>
      </c>
      <c r="C884" s="389" t="s">
        <v>299</v>
      </c>
      <c r="D884" s="142" t="s">
        <v>905</v>
      </c>
      <c r="E884" s="165">
        <v>1675620</v>
      </c>
    </row>
    <row r="885" spans="2:5" x14ac:dyDescent="0.2">
      <c r="B885" s="119" t="s">
        <v>375</v>
      </c>
      <c r="C885" s="389" t="s">
        <v>300</v>
      </c>
      <c r="D885" s="142" t="s">
        <v>905</v>
      </c>
      <c r="E885" s="165">
        <v>2341170</v>
      </c>
    </row>
    <row r="886" spans="2:5" x14ac:dyDescent="0.2">
      <c r="B886" s="119" t="s">
        <v>376</v>
      </c>
      <c r="C886" s="389" t="s">
        <v>301</v>
      </c>
      <c r="D886" s="142" t="s">
        <v>905</v>
      </c>
      <c r="E886" s="165">
        <v>876960</v>
      </c>
    </row>
    <row r="887" spans="2:5" x14ac:dyDescent="0.2">
      <c r="B887" s="119" t="s">
        <v>377</v>
      </c>
      <c r="C887" s="389" t="s">
        <v>302</v>
      </c>
      <c r="D887" s="142" t="s">
        <v>905</v>
      </c>
      <c r="E887" s="165">
        <v>1342845</v>
      </c>
    </row>
    <row r="888" spans="2:5" x14ac:dyDescent="0.2">
      <c r="B888" s="119" t="s">
        <v>378</v>
      </c>
      <c r="C888" s="389" t="s">
        <v>300</v>
      </c>
      <c r="D888" s="142" t="s">
        <v>905</v>
      </c>
      <c r="E888" s="165">
        <v>2341170</v>
      </c>
    </row>
    <row r="889" spans="2:5" x14ac:dyDescent="0.2">
      <c r="B889" s="119" t="s">
        <v>379</v>
      </c>
      <c r="C889" s="389" t="s">
        <v>303</v>
      </c>
      <c r="D889" s="142" t="s">
        <v>905</v>
      </c>
      <c r="E889" s="165">
        <v>4337820</v>
      </c>
    </row>
    <row r="890" spans="2:5" x14ac:dyDescent="0.2">
      <c r="B890" s="119" t="s">
        <v>380</v>
      </c>
      <c r="C890" s="389" t="s">
        <v>304</v>
      </c>
      <c r="D890" s="142" t="s">
        <v>905</v>
      </c>
      <c r="E890" s="165">
        <v>1808730</v>
      </c>
    </row>
    <row r="891" spans="2:5" x14ac:dyDescent="0.2">
      <c r="B891" s="119" t="s">
        <v>381</v>
      </c>
      <c r="C891" s="389" t="s">
        <v>305</v>
      </c>
      <c r="D891" s="142" t="s">
        <v>905</v>
      </c>
      <c r="E891" s="165">
        <v>2230193</v>
      </c>
    </row>
    <row r="892" spans="2:5" x14ac:dyDescent="0.2">
      <c r="B892" s="119" t="s">
        <v>382</v>
      </c>
      <c r="C892" s="389" t="s">
        <v>306</v>
      </c>
      <c r="D892" s="142" t="s">
        <v>905</v>
      </c>
      <c r="E892" s="165">
        <v>4077586</v>
      </c>
    </row>
    <row r="893" spans="2:5" x14ac:dyDescent="0.2">
      <c r="B893" s="119" t="s">
        <v>383</v>
      </c>
      <c r="C893" s="389" t="s">
        <v>307</v>
      </c>
      <c r="D893" s="142" t="s">
        <v>905</v>
      </c>
      <c r="E893" s="165">
        <v>4746720</v>
      </c>
    </row>
    <row r="894" spans="2:5" x14ac:dyDescent="0.2">
      <c r="B894" s="119" t="s">
        <v>384</v>
      </c>
      <c r="C894" s="390" t="s">
        <v>308</v>
      </c>
      <c r="D894" s="142" t="s">
        <v>905</v>
      </c>
      <c r="E894" s="165">
        <v>1110120</v>
      </c>
    </row>
    <row r="895" spans="2:5" x14ac:dyDescent="0.2">
      <c r="B895" s="119" t="s">
        <v>385</v>
      </c>
      <c r="C895" s="390" t="s">
        <v>309</v>
      </c>
      <c r="D895" s="142" t="s">
        <v>905</v>
      </c>
      <c r="E895" s="165">
        <v>1594501</v>
      </c>
    </row>
    <row r="896" spans="2:5" x14ac:dyDescent="0.2">
      <c r="B896" s="119" t="s">
        <v>386</v>
      </c>
      <c r="C896" s="390" t="s">
        <v>310</v>
      </c>
      <c r="D896" s="142" t="s">
        <v>905</v>
      </c>
      <c r="E896" s="165">
        <v>3147660</v>
      </c>
    </row>
    <row r="897" spans="2:5" x14ac:dyDescent="0.2">
      <c r="B897" s="119" t="s">
        <v>387</v>
      </c>
      <c r="C897" s="389" t="s">
        <v>311</v>
      </c>
      <c r="D897" s="142" t="s">
        <v>905</v>
      </c>
      <c r="E897" s="165">
        <v>2466450</v>
      </c>
    </row>
    <row r="898" spans="2:5" x14ac:dyDescent="0.2">
      <c r="B898" s="119" t="s">
        <v>388</v>
      </c>
      <c r="C898" s="389" t="s">
        <v>312</v>
      </c>
      <c r="D898" s="142" t="s">
        <v>905</v>
      </c>
      <c r="E898" s="165">
        <v>4275180</v>
      </c>
    </row>
    <row r="899" spans="2:5" x14ac:dyDescent="0.2">
      <c r="B899" s="119" t="s">
        <v>389</v>
      </c>
      <c r="C899" s="390" t="s">
        <v>313</v>
      </c>
      <c r="D899" s="142" t="s">
        <v>905</v>
      </c>
      <c r="E899" s="165">
        <v>2959740</v>
      </c>
    </row>
    <row r="900" spans="2:5" x14ac:dyDescent="0.2">
      <c r="B900" s="119" t="s">
        <v>390</v>
      </c>
      <c r="C900" s="390" t="s">
        <v>314</v>
      </c>
      <c r="D900" s="142" t="s">
        <v>905</v>
      </c>
      <c r="E900" s="165">
        <v>10918152</v>
      </c>
    </row>
    <row r="901" spans="2:5" x14ac:dyDescent="0.2">
      <c r="B901" s="119" t="s">
        <v>391</v>
      </c>
      <c r="C901" s="390" t="s">
        <v>315</v>
      </c>
      <c r="D901" s="142" t="s">
        <v>905</v>
      </c>
      <c r="E901" s="165">
        <v>2981664</v>
      </c>
    </row>
    <row r="902" spans="2:5" x14ac:dyDescent="0.2">
      <c r="B902" s="119" t="s">
        <v>392</v>
      </c>
      <c r="C902" s="390" t="s">
        <v>316</v>
      </c>
      <c r="D902" s="142" t="s">
        <v>905</v>
      </c>
      <c r="E902" s="165">
        <v>193871</v>
      </c>
    </row>
    <row r="903" spans="2:5" x14ac:dyDescent="0.2">
      <c r="B903" s="119" t="s">
        <v>393</v>
      </c>
      <c r="C903" s="389" t="s">
        <v>317</v>
      </c>
      <c r="D903" s="142" t="s">
        <v>905</v>
      </c>
      <c r="E903" s="165">
        <v>206202</v>
      </c>
    </row>
    <row r="904" spans="2:5" x14ac:dyDescent="0.2">
      <c r="B904" s="119" t="s">
        <v>394</v>
      </c>
      <c r="C904" s="390" t="s">
        <v>318</v>
      </c>
      <c r="D904" s="142" t="s">
        <v>905</v>
      </c>
      <c r="E904" s="165">
        <v>345929</v>
      </c>
    </row>
    <row r="905" spans="2:5" x14ac:dyDescent="0.2">
      <c r="B905" s="119" t="s">
        <v>395</v>
      </c>
      <c r="C905" s="390" t="s">
        <v>319</v>
      </c>
      <c r="D905" s="142" t="s">
        <v>905</v>
      </c>
      <c r="E905" s="165">
        <v>647060</v>
      </c>
    </row>
    <row r="906" spans="2:5" x14ac:dyDescent="0.2">
      <c r="B906" s="119" t="s">
        <v>396</v>
      </c>
      <c r="C906" s="390" t="s">
        <v>320</v>
      </c>
      <c r="D906" s="142" t="s">
        <v>905</v>
      </c>
      <c r="E906" s="165">
        <v>234900</v>
      </c>
    </row>
    <row r="907" spans="2:5" x14ac:dyDescent="0.2">
      <c r="B907" s="119" t="s">
        <v>397</v>
      </c>
      <c r="C907" s="390" t="s">
        <v>321</v>
      </c>
      <c r="D907" s="142" t="s">
        <v>905</v>
      </c>
      <c r="E907" s="165">
        <v>185832</v>
      </c>
    </row>
    <row r="908" spans="2:5" x14ac:dyDescent="0.2">
      <c r="B908" s="119" t="s">
        <v>398</v>
      </c>
      <c r="C908" s="389" t="s">
        <v>322</v>
      </c>
      <c r="D908" s="142" t="s">
        <v>905</v>
      </c>
      <c r="E908" s="165">
        <v>1348987</v>
      </c>
    </row>
    <row r="909" spans="2:5" x14ac:dyDescent="0.2">
      <c r="B909" s="119" t="s">
        <v>399</v>
      </c>
      <c r="C909" s="390" t="s">
        <v>323</v>
      </c>
      <c r="D909" s="142" t="s">
        <v>905</v>
      </c>
      <c r="E909" s="165">
        <v>383670</v>
      </c>
    </row>
    <row r="910" spans="2:5" x14ac:dyDescent="0.2">
      <c r="B910" s="119" t="s">
        <v>400</v>
      </c>
      <c r="C910" s="390" t="s">
        <v>324</v>
      </c>
      <c r="D910" s="142" t="s">
        <v>905</v>
      </c>
      <c r="E910" s="165">
        <v>337064</v>
      </c>
    </row>
    <row r="911" spans="2:5" x14ac:dyDescent="0.2">
      <c r="B911" s="119" t="s">
        <v>401</v>
      </c>
      <c r="C911" s="390" t="s">
        <v>325</v>
      </c>
      <c r="D911" s="142" t="s">
        <v>905</v>
      </c>
      <c r="E911" s="165">
        <v>948996</v>
      </c>
    </row>
    <row r="912" spans="2:5" x14ac:dyDescent="0.2">
      <c r="B912" s="119" t="s">
        <v>402</v>
      </c>
      <c r="C912" s="390" t="s">
        <v>326</v>
      </c>
      <c r="D912" s="142" t="s">
        <v>905</v>
      </c>
      <c r="E912" s="165">
        <v>770472</v>
      </c>
    </row>
    <row r="913" spans="2:5" x14ac:dyDescent="0.2">
      <c r="B913" s="119" t="s">
        <v>403</v>
      </c>
      <c r="C913" s="390" t="s">
        <v>327</v>
      </c>
      <c r="D913" s="142" t="s">
        <v>905</v>
      </c>
      <c r="E913" s="165">
        <v>1412532</v>
      </c>
    </row>
    <row r="914" spans="2:5" x14ac:dyDescent="0.2">
      <c r="B914" s="119" t="s">
        <v>404</v>
      </c>
      <c r="C914" s="390" t="s">
        <v>328</v>
      </c>
      <c r="D914" s="142" t="s">
        <v>905</v>
      </c>
      <c r="E914" s="165">
        <v>2048328</v>
      </c>
    </row>
    <row r="915" spans="2:5" x14ac:dyDescent="0.2">
      <c r="B915" s="119" t="s">
        <v>405</v>
      </c>
      <c r="C915" s="391" t="s">
        <v>329</v>
      </c>
      <c r="D915" s="142" t="s">
        <v>905</v>
      </c>
      <c r="E915" s="165">
        <v>3626</v>
      </c>
    </row>
    <row r="916" spans="2:5" x14ac:dyDescent="0.2">
      <c r="B916" s="119" t="s">
        <v>406</v>
      </c>
      <c r="C916" s="391" t="s">
        <v>330</v>
      </c>
      <c r="D916" s="142" t="s">
        <v>905</v>
      </c>
      <c r="E916" s="165">
        <v>12000</v>
      </c>
    </row>
    <row r="917" spans="2:5" x14ac:dyDescent="0.2">
      <c r="B917" s="119" t="s">
        <v>407</v>
      </c>
      <c r="C917" s="391" t="s">
        <v>331</v>
      </c>
      <c r="D917" s="142" t="s">
        <v>905</v>
      </c>
      <c r="E917" s="165">
        <v>30000</v>
      </c>
    </row>
    <row r="918" spans="2:5" x14ac:dyDescent="0.2">
      <c r="B918" s="119" t="s">
        <v>408</v>
      </c>
      <c r="C918" s="391" t="s">
        <v>332</v>
      </c>
      <c r="D918" s="142" t="s">
        <v>905</v>
      </c>
      <c r="E918" s="165">
        <v>36000</v>
      </c>
    </row>
    <row r="919" spans="2:5" x14ac:dyDescent="0.2">
      <c r="B919" s="119" t="s">
        <v>1971</v>
      </c>
      <c r="C919" s="391" t="s">
        <v>1972</v>
      </c>
      <c r="D919" s="142" t="s">
        <v>905</v>
      </c>
      <c r="E919" s="165">
        <v>263367</v>
      </c>
    </row>
    <row r="920" spans="2:5" x14ac:dyDescent="0.2">
      <c r="B920" s="119" t="s">
        <v>1973</v>
      </c>
      <c r="C920" s="391" t="s">
        <v>1974</v>
      </c>
      <c r="D920" s="142" t="s">
        <v>905</v>
      </c>
      <c r="E920" s="165">
        <v>306240</v>
      </c>
    </row>
    <row r="921" spans="2:5" ht="13.5" thickBot="1" x14ac:dyDescent="0.25">
      <c r="B921" s="125" t="s">
        <v>1975</v>
      </c>
      <c r="C921" s="389" t="s">
        <v>1976</v>
      </c>
      <c r="D921" s="146" t="s">
        <v>905</v>
      </c>
      <c r="E921" s="167">
        <v>523160</v>
      </c>
    </row>
    <row r="922" spans="2:5" ht="12.75" customHeight="1" thickBot="1" x14ac:dyDescent="0.25">
      <c r="B922" s="373">
        <v>60</v>
      </c>
      <c r="C922" s="374" t="s">
        <v>1793</v>
      </c>
      <c r="D922" s="375"/>
      <c r="E922" s="376"/>
    </row>
    <row r="923" spans="2:5" x14ac:dyDescent="0.2">
      <c r="B923" s="119" t="s">
        <v>1862</v>
      </c>
      <c r="C923" s="389" t="s">
        <v>1754</v>
      </c>
      <c r="D923" s="142" t="s">
        <v>905</v>
      </c>
      <c r="E923" s="392">
        <v>151960</v>
      </c>
    </row>
    <row r="924" spans="2:5" x14ac:dyDescent="0.2">
      <c r="B924" s="119" t="s">
        <v>1863</v>
      </c>
      <c r="C924" s="389" t="s">
        <v>1755</v>
      </c>
      <c r="D924" s="142" t="s">
        <v>905</v>
      </c>
      <c r="E924" s="392">
        <v>250560</v>
      </c>
    </row>
    <row r="925" spans="2:5" x14ac:dyDescent="0.2">
      <c r="B925" s="119" t="s">
        <v>1864</v>
      </c>
      <c r="C925" s="389" t="s">
        <v>1756</v>
      </c>
      <c r="D925" s="142" t="s">
        <v>905</v>
      </c>
      <c r="E925" s="392">
        <v>294640</v>
      </c>
    </row>
    <row r="926" spans="2:5" x14ac:dyDescent="0.2">
      <c r="B926" s="119" t="s">
        <v>1865</v>
      </c>
      <c r="C926" s="389" t="s">
        <v>1757</v>
      </c>
      <c r="D926" s="142" t="s">
        <v>905</v>
      </c>
      <c r="E926" s="392">
        <v>411800</v>
      </c>
    </row>
    <row r="927" spans="2:5" x14ac:dyDescent="0.2">
      <c r="B927" s="119" t="s">
        <v>1866</v>
      </c>
      <c r="C927" s="389" t="s">
        <v>1758</v>
      </c>
      <c r="D927" s="142" t="s">
        <v>905</v>
      </c>
      <c r="E927" s="392">
        <v>423400</v>
      </c>
    </row>
    <row r="928" spans="2:5" x14ac:dyDescent="0.2">
      <c r="B928" s="119" t="s">
        <v>1867</v>
      </c>
      <c r="C928" s="389" t="s">
        <v>1759</v>
      </c>
      <c r="D928" s="142" t="s">
        <v>905</v>
      </c>
      <c r="E928" s="392">
        <v>473280</v>
      </c>
    </row>
    <row r="929" spans="2:5" x14ac:dyDescent="0.2">
      <c r="B929" s="119" t="s">
        <v>1868</v>
      </c>
      <c r="C929" s="389" t="s">
        <v>1760</v>
      </c>
      <c r="D929" s="142" t="s">
        <v>905</v>
      </c>
      <c r="E929" s="392">
        <v>701800</v>
      </c>
    </row>
    <row r="930" spans="2:5" x14ac:dyDescent="0.2">
      <c r="B930" s="119" t="s">
        <v>1869</v>
      </c>
      <c r="C930" s="389" t="s">
        <v>1761</v>
      </c>
      <c r="D930" s="142" t="s">
        <v>905</v>
      </c>
      <c r="E930" s="392">
        <v>803880</v>
      </c>
    </row>
    <row r="931" spans="2:5" x14ac:dyDescent="0.2">
      <c r="B931" s="119" t="s">
        <v>1870</v>
      </c>
      <c r="C931" s="389" t="s">
        <v>1762</v>
      </c>
      <c r="D931" s="142" t="s">
        <v>905</v>
      </c>
      <c r="E931" s="392">
        <v>1046320</v>
      </c>
    </row>
    <row r="932" spans="2:5" x14ac:dyDescent="0.2">
      <c r="B932" s="119" t="s">
        <v>1871</v>
      </c>
      <c r="C932" s="389" t="s">
        <v>1763</v>
      </c>
      <c r="D932" s="142" t="s">
        <v>905</v>
      </c>
      <c r="E932" s="392">
        <v>1172760</v>
      </c>
    </row>
    <row r="933" spans="2:5" x14ac:dyDescent="0.2">
      <c r="B933" s="119" t="s">
        <v>1872</v>
      </c>
      <c r="C933" s="389" t="s">
        <v>1764</v>
      </c>
      <c r="D933" s="142" t="s">
        <v>905</v>
      </c>
      <c r="E933" s="392">
        <v>1678520</v>
      </c>
    </row>
    <row r="934" spans="2:5" x14ac:dyDescent="0.2">
      <c r="B934" s="119" t="s">
        <v>1873</v>
      </c>
      <c r="C934" s="389" t="s">
        <v>1765</v>
      </c>
      <c r="D934" s="142" t="s">
        <v>905</v>
      </c>
      <c r="E934" s="392">
        <v>1757400</v>
      </c>
    </row>
    <row r="935" spans="2:5" x14ac:dyDescent="0.2">
      <c r="B935" s="119" t="s">
        <v>1874</v>
      </c>
      <c r="C935" s="389" t="s">
        <v>1766</v>
      </c>
      <c r="D935" s="142" t="s">
        <v>905</v>
      </c>
      <c r="E935" s="392">
        <v>1678520</v>
      </c>
    </row>
    <row r="936" spans="2:5" x14ac:dyDescent="0.2">
      <c r="B936" s="119" t="s">
        <v>1875</v>
      </c>
      <c r="C936" s="389" t="s">
        <v>1767</v>
      </c>
      <c r="D936" s="142" t="s">
        <v>905</v>
      </c>
      <c r="E936" s="392">
        <v>765600</v>
      </c>
    </row>
    <row r="937" spans="2:5" x14ac:dyDescent="0.2">
      <c r="B937" s="119" t="s">
        <v>1876</v>
      </c>
      <c r="C937" s="389" t="s">
        <v>1768</v>
      </c>
      <c r="D937" s="142" t="s">
        <v>905</v>
      </c>
      <c r="E937" s="392">
        <v>582320</v>
      </c>
    </row>
    <row r="938" spans="2:5" x14ac:dyDescent="0.2">
      <c r="B938" s="119" t="s">
        <v>1877</v>
      </c>
      <c r="C938" s="389" t="s">
        <v>1769</v>
      </c>
      <c r="D938" s="142" t="s">
        <v>905</v>
      </c>
      <c r="E938" s="392">
        <v>938440</v>
      </c>
    </row>
    <row r="939" spans="2:5" x14ac:dyDescent="0.2">
      <c r="B939" s="119" t="s">
        <v>1878</v>
      </c>
      <c r="C939" s="389" t="s">
        <v>1770</v>
      </c>
      <c r="D939" s="142" t="s">
        <v>905</v>
      </c>
      <c r="E939" s="392">
        <v>2226040</v>
      </c>
    </row>
    <row r="940" spans="2:5" x14ac:dyDescent="0.2">
      <c r="B940" s="119" t="s">
        <v>1879</v>
      </c>
      <c r="C940" s="389" t="s">
        <v>1771</v>
      </c>
      <c r="D940" s="142" t="s">
        <v>905</v>
      </c>
      <c r="E940" s="392">
        <v>1671560</v>
      </c>
    </row>
    <row r="941" spans="2:5" x14ac:dyDescent="0.2">
      <c r="B941" s="119" t="s">
        <v>1880</v>
      </c>
      <c r="C941" s="389" t="s">
        <v>1772</v>
      </c>
      <c r="D941" s="142" t="s">
        <v>905</v>
      </c>
      <c r="E941" s="392">
        <v>3380240</v>
      </c>
    </row>
    <row r="942" spans="2:5" x14ac:dyDescent="0.2">
      <c r="B942" s="335" t="s">
        <v>2154</v>
      </c>
      <c r="C942" s="389" t="s">
        <v>1773</v>
      </c>
      <c r="D942" s="142" t="s">
        <v>905</v>
      </c>
      <c r="E942" s="392">
        <f>ROUND(53000*1.16,0)</f>
        <v>61480</v>
      </c>
    </row>
    <row r="943" spans="2:5" x14ac:dyDescent="0.2">
      <c r="B943" s="335" t="s">
        <v>2145</v>
      </c>
      <c r="C943" s="389" t="s">
        <v>2146</v>
      </c>
      <c r="D943" s="142"/>
      <c r="E943" s="392">
        <f>73000*1.16</f>
        <v>84680</v>
      </c>
    </row>
    <row r="944" spans="2:5" x14ac:dyDescent="0.2">
      <c r="B944" s="119" t="s">
        <v>1881</v>
      </c>
      <c r="C944" s="389" t="s">
        <v>1774</v>
      </c>
      <c r="D944" s="142" t="s">
        <v>905</v>
      </c>
      <c r="E944" s="392">
        <f>ROUND(105000*1.16,0)</f>
        <v>121800</v>
      </c>
    </row>
    <row r="945" spans="2:5" x14ac:dyDescent="0.2">
      <c r="B945" s="119" t="s">
        <v>1882</v>
      </c>
      <c r="C945" s="389" t="s">
        <v>1775</v>
      </c>
      <c r="D945" s="142" t="s">
        <v>905</v>
      </c>
      <c r="E945" s="392">
        <f>196000*1.16</f>
        <v>227359.99999999997</v>
      </c>
    </row>
    <row r="946" spans="2:5" x14ac:dyDescent="0.2">
      <c r="B946" s="119" t="s">
        <v>1883</v>
      </c>
      <c r="C946" s="389" t="s">
        <v>1776</v>
      </c>
      <c r="D946" s="142" t="s">
        <v>905</v>
      </c>
      <c r="E946" s="392">
        <f>231000*1.16</f>
        <v>267960</v>
      </c>
    </row>
    <row r="947" spans="2:5" x14ac:dyDescent="0.2">
      <c r="B947" s="119" t="s">
        <v>1884</v>
      </c>
      <c r="C947" s="389" t="s">
        <v>1777</v>
      </c>
      <c r="D947" s="142" t="s">
        <v>905</v>
      </c>
      <c r="E947" s="392">
        <f>275000*1.16</f>
        <v>319000</v>
      </c>
    </row>
    <row r="948" spans="2:5" x14ac:dyDescent="0.2">
      <c r="B948" s="119" t="s">
        <v>1885</v>
      </c>
      <c r="C948" s="389" t="s">
        <v>1778</v>
      </c>
      <c r="D948" s="142" t="s">
        <v>905</v>
      </c>
      <c r="E948" s="392">
        <f>365000*1.16</f>
        <v>423399.99999999994</v>
      </c>
    </row>
    <row r="949" spans="2:5" x14ac:dyDescent="0.2">
      <c r="B949" s="119" t="s">
        <v>1886</v>
      </c>
      <c r="C949" s="389" t="s">
        <v>1779</v>
      </c>
      <c r="D949" s="142" t="s">
        <v>905</v>
      </c>
      <c r="E949" s="392">
        <f>440000*1.16</f>
        <v>510399.99999999994</v>
      </c>
    </row>
    <row r="950" spans="2:5" x14ac:dyDescent="0.2">
      <c r="B950" s="119" t="s">
        <v>1887</v>
      </c>
      <c r="C950" s="389" t="s">
        <v>1780</v>
      </c>
      <c r="D950" s="142" t="s">
        <v>905</v>
      </c>
      <c r="E950" s="392">
        <f>462000*1.16</f>
        <v>535920</v>
      </c>
    </row>
    <row r="951" spans="2:5" x14ac:dyDescent="0.2">
      <c r="B951" s="119" t="s">
        <v>1888</v>
      </c>
      <c r="C951" s="389" t="s">
        <v>1781</v>
      </c>
      <c r="D951" s="142" t="s">
        <v>905</v>
      </c>
      <c r="E951" s="392">
        <f>495000*1.16</f>
        <v>574200</v>
      </c>
    </row>
    <row r="952" spans="2:5" x14ac:dyDescent="0.2">
      <c r="B952" s="119" t="s">
        <v>1889</v>
      </c>
      <c r="C952" s="389" t="s">
        <v>1782</v>
      </c>
      <c r="D952" s="142" t="s">
        <v>905</v>
      </c>
      <c r="E952" s="392">
        <f>605000*1.16</f>
        <v>701800</v>
      </c>
    </row>
    <row r="953" spans="2:5" x14ac:dyDescent="0.2">
      <c r="B953" s="119" t="s">
        <v>1890</v>
      </c>
      <c r="C953" s="389" t="s">
        <v>1783</v>
      </c>
      <c r="D953" s="142" t="s">
        <v>905</v>
      </c>
      <c r="E953" s="392">
        <f>627000*1.16</f>
        <v>727320</v>
      </c>
    </row>
    <row r="954" spans="2:5" x14ac:dyDescent="0.2">
      <c r="B954" s="119" t="s">
        <v>1891</v>
      </c>
      <c r="C954" s="389" t="s">
        <v>1784</v>
      </c>
      <c r="D954" s="142" t="s">
        <v>905</v>
      </c>
      <c r="E954" s="392">
        <f>660000*1.16</f>
        <v>765600</v>
      </c>
    </row>
    <row r="955" spans="2:5" x14ac:dyDescent="0.2">
      <c r="B955" s="119" t="s">
        <v>1892</v>
      </c>
      <c r="C955" s="389" t="s">
        <v>1785</v>
      </c>
      <c r="D955" s="142" t="s">
        <v>905</v>
      </c>
      <c r="E955" s="392">
        <f>850000*1.16</f>
        <v>985999.99999999988</v>
      </c>
    </row>
    <row r="956" spans="2:5" x14ac:dyDescent="0.2">
      <c r="B956" s="335" t="s">
        <v>2152</v>
      </c>
      <c r="C956" s="389" t="s">
        <v>1786</v>
      </c>
      <c r="D956" s="142" t="s">
        <v>905</v>
      </c>
      <c r="E956" s="392">
        <f>968000*1.16</f>
        <v>1122880</v>
      </c>
    </row>
    <row r="957" spans="2:5" x14ac:dyDescent="0.2">
      <c r="B957" s="335" t="s">
        <v>2153</v>
      </c>
      <c r="C957" s="389" t="s">
        <v>2157</v>
      </c>
      <c r="D957" s="142" t="s">
        <v>905</v>
      </c>
      <c r="E957" s="392">
        <f>116000*1.16</f>
        <v>134560</v>
      </c>
    </row>
    <row r="958" spans="2:5" x14ac:dyDescent="0.2">
      <c r="B958" s="119" t="s">
        <v>1893</v>
      </c>
      <c r="C958" s="389" t="s">
        <v>1787</v>
      </c>
      <c r="D958" s="142" t="s">
        <v>905</v>
      </c>
      <c r="E958" s="392">
        <f>1100000*1.16</f>
        <v>1276000</v>
      </c>
    </row>
    <row r="959" spans="2:5" x14ac:dyDescent="0.2">
      <c r="B959" s="119" t="s">
        <v>1894</v>
      </c>
      <c r="C959" s="389" t="s">
        <v>1788</v>
      </c>
      <c r="D959" s="142" t="s">
        <v>905</v>
      </c>
      <c r="E959" s="392">
        <f>1430000*1.16</f>
        <v>1658800</v>
      </c>
    </row>
    <row r="960" spans="2:5" x14ac:dyDescent="0.2">
      <c r="B960" s="119" t="s">
        <v>1895</v>
      </c>
      <c r="C960" s="389" t="s">
        <v>1789</v>
      </c>
      <c r="D960" s="142" t="s">
        <v>905</v>
      </c>
      <c r="E960" s="392">
        <f>1210000*1.16</f>
        <v>1403600</v>
      </c>
    </row>
    <row r="961" spans="2:5" x14ac:dyDescent="0.2">
      <c r="B961" s="119" t="s">
        <v>1896</v>
      </c>
      <c r="C961" s="389" t="s">
        <v>1790</v>
      </c>
      <c r="D961" s="142" t="s">
        <v>905</v>
      </c>
      <c r="E961" s="392">
        <f>1216000*1.16</f>
        <v>1410560</v>
      </c>
    </row>
    <row r="962" spans="2:5" x14ac:dyDescent="0.2">
      <c r="B962" s="119" t="s">
        <v>1897</v>
      </c>
      <c r="C962" s="389" t="s">
        <v>1791</v>
      </c>
      <c r="D962" s="142" t="s">
        <v>905</v>
      </c>
      <c r="E962" s="392">
        <f>4699000*1.16</f>
        <v>5450840</v>
      </c>
    </row>
    <row r="963" spans="2:5" x14ac:dyDescent="0.2">
      <c r="B963" s="119" t="s">
        <v>1898</v>
      </c>
      <c r="C963" s="389" t="s">
        <v>1792</v>
      </c>
      <c r="D963" s="142" t="s">
        <v>905</v>
      </c>
      <c r="E963" s="392">
        <f>1606000*1.16</f>
        <v>1862959.9999999998</v>
      </c>
    </row>
    <row r="964" spans="2:5" x14ac:dyDescent="0.2">
      <c r="B964" s="119" t="s">
        <v>1899</v>
      </c>
      <c r="C964" s="389" t="s">
        <v>1833</v>
      </c>
      <c r="D964" s="142" t="s">
        <v>905</v>
      </c>
      <c r="E964" s="392">
        <v>56840</v>
      </c>
    </row>
    <row r="965" spans="2:5" x14ac:dyDescent="0.2">
      <c r="B965" s="119" t="s">
        <v>1900</v>
      </c>
      <c r="C965" s="389" t="s">
        <v>1834</v>
      </c>
      <c r="D965" s="142" t="s">
        <v>905</v>
      </c>
      <c r="E965" s="392">
        <v>71920</v>
      </c>
    </row>
    <row r="966" spans="2:5" x14ac:dyDescent="0.2">
      <c r="B966" s="119" t="s">
        <v>1901</v>
      </c>
      <c r="C966" s="389" t="s">
        <v>1835</v>
      </c>
      <c r="D966" s="142" t="s">
        <v>905</v>
      </c>
      <c r="E966" s="392">
        <v>106720</v>
      </c>
    </row>
    <row r="967" spans="2:5" x14ac:dyDescent="0.2">
      <c r="B967" s="119" t="s">
        <v>1902</v>
      </c>
      <c r="C967" s="389" t="s">
        <v>1836</v>
      </c>
      <c r="D967" s="142" t="s">
        <v>905</v>
      </c>
      <c r="E967" s="392">
        <v>99760</v>
      </c>
    </row>
    <row r="968" spans="2:5" x14ac:dyDescent="0.2">
      <c r="B968" s="119" t="s">
        <v>1903</v>
      </c>
      <c r="C968" s="389" t="s">
        <v>1837</v>
      </c>
      <c r="D968" s="142" t="s">
        <v>905</v>
      </c>
      <c r="E968" s="392">
        <v>112520</v>
      </c>
    </row>
    <row r="969" spans="2:5" x14ac:dyDescent="0.2">
      <c r="B969" s="119" t="s">
        <v>1904</v>
      </c>
      <c r="C969" s="389" t="s">
        <v>1838</v>
      </c>
      <c r="D969" s="142" t="s">
        <v>905</v>
      </c>
      <c r="E969" s="392">
        <v>140360</v>
      </c>
    </row>
    <row r="970" spans="2:5" x14ac:dyDescent="0.2">
      <c r="B970" s="119" t="s">
        <v>1905</v>
      </c>
      <c r="C970" s="389" t="s">
        <v>1839</v>
      </c>
      <c r="D970" s="142" t="s">
        <v>905</v>
      </c>
      <c r="E970" s="392">
        <v>218080</v>
      </c>
    </row>
    <row r="971" spans="2:5" x14ac:dyDescent="0.2">
      <c r="B971" s="119" t="s">
        <v>1906</v>
      </c>
      <c r="C971" s="389" t="s">
        <v>1840</v>
      </c>
      <c r="D971" s="142" t="s">
        <v>905</v>
      </c>
      <c r="E971" s="392">
        <v>238960</v>
      </c>
    </row>
    <row r="972" spans="2:5" x14ac:dyDescent="0.2">
      <c r="B972" s="119" t="s">
        <v>1907</v>
      </c>
      <c r="C972" s="391" t="s">
        <v>1841</v>
      </c>
      <c r="D972" s="142" t="s">
        <v>905</v>
      </c>
      <c r="E972" s="392">
        <v>280720</v>
      </c>
    </row>
    <row r="973" spans="2:5" x14ac:dyDescent="0.2">
      <c r="B973" s="119" t="s">
        <v>1908</v>
      </c>
      <c r="C973" s="391" t="s">
        <v>1842</v>
      </c>
      <c r="D973" s="142" t="s">
        <v>905</v>
      </c>
      <c r="E973" s="392">
        <v>351480</v>
      </c>
    </row>
    <row r="974" spans="2:5" x14ac:dyDescent="0.2">
      <c r="B974" s="119" t="s">
        <v>1909</v>
      </c>
      <c r="C974" s="391" t="s">
        <v>1843</v>
      </c>
      <c r="D974" s="142" t="s">
        <v>905</v>
      </c>
      <c r="E974" s="392">
        <v>491840</v>
      </c>
    </row>
    <row r="975" spans="2:5" x14ac:dyDescent="0.2">
      <c r="B975" s="119" t="s">
        <v>1910</v>
      </c>
      <c r="C975" s="391" t="s">
        <v>1844</v>
      </c>
      <c r="D975" s="142" t="s">
        <v>905</v>
      </c>
      <c r="E975" s="392">
        <v>561440</v>
      </c>
    </row>
    <row r="976" spans="2:5" x14ac:dyDescent="0.2">
      <c r="B976" s="119" t="s">
        <v>1911</v>
      </c>
      <c r="C976" s="391" t="s">
        <v>1845</v>
      </c>
      <c r="D976" s="142" t="s">
        <v>905</v>
      </c>
      <c r="E976" s="392">
        <v>589280</v>
      </c>
    </row>
    <row r="977" spans="2:5" x14ac:dyDescent="0.2">
      <c r="B977" s="119" t="s">
        <v>1912</v>
      </c>
      <c r="C977" s="391" t="s">
        <v>1846</v>
      </c>
      <c r="D977" s="142" t="s">
        <v>905</v>
      </c>
      <c r="E977" s="392">
        <v>632200</v>
      </c>
    </row>
    <row r="978" spans="2:5" x14ac:dyDescent="0.2">
      <c r="B978" s="119" t="s">
        <v>1913</v>
      </c>
      <c r="C978" s="391" t="s">
        <v>1847</v>
      </c>
      <c r="D978" s="142" t="s">
        <v>905</v>
      </c>
      <c r="E978" s="392">
        <v>772560</v>
      </c>
    </row>
    <row r="979" spans="2:5" x14ac:dyDescent="0.2">
      <c r="B979" s="119" t="s">
        <v>1914</v>
      </c>
      <c r="C979" s="391" t="s">
        <v>1848</v>
      </c>
      <c r="D979" s="142" t="s">
        <v>905</v>
      </c>
      <c r="E979" s="392">
        <v>800400</v>
      </c>
    </row>
    <row r="980" spans="2:5" x14ac:dyDescent="0.2">
      <c r="B980" s="119" t="s">
        <v>1915</v>
      </c>
      <c r="C980" s="391" t="s">
        <v>1849</v>
      </c>
      <c r="D980" s="142" t="s">
        <v>905</v>
      </c>
      <c r="E980" s="392">
        <v>842160</v>
      </c>
    </row>
    <row r="981" spans="2:5" x14ac:dyDescent="0.2">
      <c r="B981" s="119" t="s">
        <v>1916</v>
      </c>
      <c r="C981" s="391" t="s">
        <v>1850</v>
      </c>
      <c r="D981" s="142" t="s">
        <v>905</v>
      </c>
      <c r="E981" s="392">
        <v>982520</v>
      </c>
    </row>
    <row r="982" spans="2:5" x14ac:dyDescent="0.2">
      <c r="B982" s="119" t="s">
        <v>1917</v>
      </c>
      <c r="C982" s="391" t="s">
        <v>1851</v>
      </c>
      <c r="D982" s="142" t="s">
        <v>905</v>
      </c>
      <c r="E982" s="392">
        <v>1245840</v>
      </c>
    </row>
    <row r="983" spans="2:5" x14ac:dyDescent="0.2">
      <c r="B983" s="119" t="s">
        <v>1918</v>
      </c>
      <c r="C983" s="391" t="s">
        <v>1852</v>
      </c>
      <c r="D983" s="142" t="s">
        <v>905</v>
      </c>
      <c r="E983" s="392">
        <v>1122880</v>
      </c>
    </row>
    <row r="984" spans="2:5" x14ac:dyDescent="0.2">
      <c r="B984" s="119" t="s">
        <v>1919</v>
      </c>
      <c r="C984" s="391" t="s">
        <v>1853</v>
      </c>
      <c r="D984" s="142" t="s">
        <v>905</v>
      </c>
      <c r="E984" s="392">
        <v>1150720</v>
      </c>
    </row>
    <row r="985" spans="2:5" x14ac:dyDescent="0.2">
      <c r="B985" s="119" t="s">
        <v>1920</v>
      </c>
      <c r="C985" s="391" t="s">
        <v>1854</v>
      </c>
      <c r="D985" s="142" t="s">
        <v>905</v>
      </c>
      <c r="E985" s="392">
        <v>1403600</v>
      </c>
    </row>
    <row r="986" spans="2:5" x14ac:dyDescent="0.2">
      <c r="B986" s="119" t="s">
        <v>1921</v>
      </c>
      <c r="C986" s="391" t="s">
        <v>1855</v>
      </c>
      <c r="D986" s="142" t="s">
        <v>905</v>
      </c>
      <c r="E986" s="392">
        <v>1543960</v>
      </c>
    </row>
    <row r="987" spans="2:5" x14ac:dyDescent="0.2">
      <c r="B987" s="119" t="s">
        <v>1922</v>
      </c>
      <c r="C987" s="391" t="s">
        <v>1856</v>
      </c>
      <c r="D987" s="142" t="s">
        <v>905</v>
      </c>
      <c r="E987" s="392">
        <v>1824680</v>
      </c>
    </row>
    <row r="988" spans="2:5" x14ac:dyDescent="0.2">
      <c r="B988" s="119" t="s">
        <v>1923</v>
      </c>
      <c r="C988" s="391" t="s">
        <v>1857</v>
      </c>
      <c r="D988" s="142" t="s">
        <v>905</v>
      </c>
      <c r="E988" s="392">
        <v>2105400</v>
      </c>
    </row>
    <row r="989" spans="2:5" x14ac:dyDescent="0.2">
      <c r="B989" s="119" t="s">
        <v>1924</v>
      </c>
      <c r="C989" s="391" t="s">
        <v>1858</v>
      </c>
      <c r="D989" s="142" t="s">
        <v>905</v>
      </c>
      <c r="E989" s="392">
        <v>1437240</v>
      </c>
    </row>
    <row r="990" spans="2:5" x14ac:dyDescent="0.2">
      <c r="B990" s="119" t="s">
        <v>1925</v>
      </c>
      <c r="C990" s="391" t="s">
        <v>1859</v>
      </c>
      <c r="D990" s="142" t="s">
        <v>905</v>
      </c>
      <c r="E990" s="392">
        <v>1466240</v>
      </c>
    </row>
    <row r="991" spans="2:5" x14ac:dyDescent="0.2">
      <c r="B991" s="119" t="s">
        <v>1926</v>
      </c>
      <c r="C991" s="391" t="s">
        <v>1860</v>
      </c>
      <c r="D991" s="142" t="s">
        <v>905</v>
      </c>
      <c r="E991" s="392">
        <v>1537000</v>
      </c>
    </row>
    <row r="992" spans="2:5" x14ac:dyDescent="0.2">
      <c r="B992" s="137" t="s">
        <v>1927</v>
      </c>
      <c r="C992" s="391" t="s">
        <v>1861</v>
      </c>
      <c r="D992" s="142" t="s">
        <v>905</v>
      </c>
      <c r="E992" s="392">
        <v>1972000</v>
      </c>
    </row>
    <row r="993" spans="2:5" ht="13.5" thickBot="1" x14ac:dyDescent="0.25">
      <c r="B993" s="139" t="s">
        <v>1967</v>
      </c>
      <c r="C993" s="393" t="s">
        <v>1968</v>
      </c>
      <c r="D993" s="142" t="s">
        <v>905</v>
      </c>
      <c r="E993" s="394">
        <v>365000</v>
      </c>
    </row>
    <row r="994" spans="2:5" ht="13.5" thickBot="1" x14ac:dyDescent="0.25">
      <c r="B994" s="373">
        <v>70</v>
      </c>
      <c r="C994" s="374" t="s">
        <v>1970</v>
      </c>
      <c r="D994" s="375"/>
      <c r="E994" s="376"/>
    </row>
    <row r="995" spans="2:5" x14ac:dyDescent="0.2">
      <c r="B995" s="119" t="s">
        <v>2139</v>
      </c>
      <c r="C995" s="389" t="s">
        <v>2140</v>
      </c>
      <c r="D995" s="142" t="s">
        <v>905</v>
      </c>
      <c r="E995" s="392">
        <f>88000*1.16</f>
        <v>102080</v>
      </c>
    </row>
    <row r="996" spans="2:5" x14ac:dyDescent="0.2">
      <c r="B996" s="335" t="s">
        <v>2141</v>
      </c>
      <c r="C996" s="389" t="s">
        <v>2142</v>
      </c>
      <c r="D996" s="142" t="s">
        <v>905</v>
      </c>
      <c r="E996" s="392">
        <f>99000*1.16</f>
        <v>114839.99999999999</v>
      </c>
    </row>
    <row r="997" spans="2:5" x14ac:dyDescent="0.2">
      <c r="B997" s="119" t="s">
        <v>1928</v>
      </c>
      <c r="C997" s="389" t="s">
        <v>1794</v>
      </c>
      <c r="D997" s="142" t="s">
        <v>905</v>
      </c>
      <c r="E997" s="392">
        <v>122960</v>
      </c>
    </row>
    <row r="998" spans="2:5" x14ac:dyDescent="0.2">
      <c r="B998" s="119" t="s">
        <v>1929</v>
      </c>
      <c r="C998" s="389" t="s">
        <v>1795</v>
      </c>
      <c r="D998" s="142" t="s">
        <v>905</v>
      </c>
      <c r="E998" s="392">
        <v>148480</v>
      </c>
    </row>
    <row r="999" spans="2:5" x14ac:dyDescent="0.2">
      <c r="B999" s="119" t="s">
        <v>1930</v>
      </c>
      <c r="C999" s="389" t="s">
        <v>1796</v>
      </c>
      <c r="D999" s="142" t="s">
        <v>905</v>
      </c>
      <c r="E999" s="392">
        <v>187920</v>
      </c>
    </row>
    <row r="1000" spans="2:5" x14ac:dyDescent="0.2">
      <c r="B1000" s="119" t="s">
        <v>1931</v>
      </c>
      <c r="C1000" s="389" t="s">
        <v>1797</v>
      </c>
      <c r="D1000" s="142" t="s">
        <v>905</v>
      </c>
      <c r="E1000" s="392">
        <v>236640</v>
      </c>
    </row>
    <row r="1001" spans="2:5" x14ac:dyDescent="0.2">
      <c r="B1001" s="119" t="s">
        <v>1932</v>
      </c>
      <c r="C1001" s="389" t="s">
        <v>1798</v>
      </c>
      <c r="D1001" s="142" t="s">
        <v>905</v>
      </c>
      <c r="E1001" s="392">
        <v>284200</v>
      </c>
    </row>
    <row r="1002" spans="2:5" x14ac:dyDescent="0.2">
      <c r="B1002" s="119" t="s">
        <v>1933</v>
      </c>
      <c r="C1002" s="389" t="s">
        <v>1799</v>
      </c>
      <c r="D1002" s="142" t="s">
        <v>905</v>
      </c>
      <c r="E1002" s="392">
        <v>382800</v>
      </c>
    </row>
    <row r="1003" spans="2:5" x14ac:dyDescent="0.2">
      <c r="B1003" s="119" t="s">
        <v>1934</v>
      </c>
      <c r="C1003" s="389" t="s">
        <v>1800</v>
      </c>
      <c r="D1003" s="142" t="s">
        <v>905</v>
      </c>
      <c r="E1003" s="392">
        <v>455880</v>
      </c>
    </row>
    <row r="1004" spans="2:5" x14ac:dyDescent="0.2">
      <c r="B1004" s="119" t="s">
        <v>1935</v>
      </c>
      <c r="C1004" s="389" t="s">
        <v>1801</v>
      </c>
      <c r="D1004" s="142" t="s">
        <v>905</v>
      </c>
      <c r="E1004" s="392">
        <v>603200</v>
      </c>
    </row>
    <row r="1005" spans="2:5" x14ac:dyDescent="0.2">
      <c r="B1005" s="119" t="s">
        <v>1936</v>
      </c>
      <c r="C1005" s="389" t="s">
        <v>1802</v>
      </c>
      <c r="D1005" s="142" t="s">
        <v>905</v>
      </c>
      <c r="E1005" s="392">
        <v>708760</v>
      </c>
    </row>
    <row r="1006" spans="2:5" x14ac:dyDescent="0.2">
      <c r="B1006" s="119" t="s">
        <v>1937</v>
      </c>
      <c r="C1006" s="389" t="s">
        <v>1803</v>
      </c>
      <c r="D1006" s="142" t="s">
        <v>905</v>
      </c>
      <c r="E1006" s="392">
        <v>755160</v>
      </c>
    </row>
    <row r="1007" spans="2:5" x14ac:dyDescent="0.2">
      <c r="B1007" s="119" t="s">
        <v>1938</v>
      </c>
      <c r="C1007" s="389" t="s">
        <v>1804</v>
      </c>
      <c r="D1007" s="142" t="s">
        <v>905</v>
      </c>
      <c r="E1007" s="392">
        <v>1593840</v>
      </c>
    </row>
    <row r="1008" spans="2:5" x14ac:dyDescent="0.2">
      <c r="B1008" s="119" t="s">
        <v>1939</v>
      </c>
      <c r="C1008" s="389" t="s">
        <v>1805</v>
      </c>
      <c r="D1008" s="142" t="s">
        <v>905</v>
      </c>
      <c r="E1008" s="392">
        <v>786480</v>
      </c>
    </row>
    <row r="1009" spans="2:5" x14ac:dyDescent="0.2">
      <c r="B1009" s="119" t="s">
        <v>1940</v>
      </c>
      <c r="C1009" s="389" t="s">
        <v>1806</v>
      </c>
      <c r="D1009" s="142" t="s">
        <v>905</v>
      </c>
      <c r="E1009" s="392">
        <v>1121720</v>
      </c>
    </row>
    <row r="1010" spans="2:5" x14ac:dyDescent="0.2">
      <c r="B1010" s="119" t="s">
        <v>1941</v>
      </c>
      <c r="C1010" s="389" t="s">
        <v>1807</v>
      </c>
      <c r="D1010" s="142" t="s">
        <v>905</v>
      </c>
      <c r="E1010" s="392">
        <v>969760</v>
      </c>
    </row>
    <row r="1011" spans="2:5" x14ac:dyDescent="0.2">
      <c r="B1011" s="119" t="s">
        <v>1942</v>
      </c>
      <c r="C1011" s="389" t="s">
        <v>1808</v>
      </c>
      <c r="D1011" s="142" t="s">
        <v>905</v>
      </c>
      <c r="E1011" s="392">
        <v>76560</v>
      </c>
    </row>
    <row r="1012" spans="2:5" x14ac:dyDescent="0.2">
      <c r="B1012" s="119" t="s">
        <v>1943</v>
      </c>
      <c r="C1012" s="389" t="s">
        <v>1809</v>
      </c>
      <c r="D1012" s="142" t="s">
        <v>905</v>
      </c>
      <c r="E1012" s="392">
        <v>111360</v>
      </c>
    </row>
    <row r="1013" spans="2:5" x14ac:dyDescent="0.2">
      <c r="B1013" s="119" t="s">
        <v>1944</v>
      </c>
      <c r="C1013" s="389" t="s">
        <v>1810</v>
      </c>
      <c r="D1013" s="142" t="s">
        <v>905</v>
      </c>
      <c r="E1013" s="392">
        <v>128760</v>
      </c>
    </row>
    <row r="1014" spans="2:5" x14ac:dyDescent="0.2">
      <c r="B1014" s="119" t="s">
        <v>1945</v>
      </c>
      <c r="C1014" s="389" t="s">
        <v>1811</v>
      </c>
      <c r="D1014" s="142" t="s">
        <v>905</v>
      </c>
      <c r="E1014" s="392">
        <v>131080</v>
      </c>
    </row>
    <row r="1015" spans="2:5" x14ac:dyDescent="0.2">
      <c r="B1015" s="119" t="s">
        <v>1946</v>
      </c>
      <c r="C1015" s="389" t="s">
        <v>1812</v>
      </c>
      <c r="D1015" s="142" t="s">
        <v>905</v>
      </c>
      <c r="E1015" s="392">
        <v>163560</v>
      </c>
    </row>
    <row r="1016" spans="2:5" x14ac:dyDescent="0.2">
      <c r="B1016" s="119" t="s">
        <v>1947</v>
      </c>
      <c r="C1016" s="389" t="s">
        <v>1813</v>
      </c>
      <c r="D1016" s="142" t="s">
        <v>905</v>
      </c>
      <c r="E1016" s="392">
        <v>196040</v>
      </c>
    </row>
    <row r="1017" spans="2:5" x14ac:dyDescent="0.2">
      <c r="B1017" s="119" t="s">
        <v>1948</v>
      </c>
      <c r="C1017" s="389" t="s">
        <v>1814</v>
      </c>
      <c r="D1017" s="142" t="s">
        <v>905</v>
      </c>
      <c r="E1017" s="392">
        <v>238960</v>
      </c>
    </row>
    <row r="1018" spans="2:5" x14ac:dyDescent="0.2">
      <c r="B1018" s="119" t="s">
        <v>1949</v>
      </c>
      <c r="C1018" s="389" t="s">
        <v>1815</v>
      </c>
      <c r="D1018" s="142" t="s">
        <v>905</v>
      </c>
      <c r="E1018" s="392">
        <v>259840</v>
      </c>
    </row>
    <row r="1019" spans="2:5" x14ac:dyDescent="0.2">
      <c r="B1019" s="119" t="s">
        <v>1950</v>
      </c>
      <c r="C1019" s="389" t="s">
        <v>1816</v>
      </c>
      <c r="D1019" s="142" t="s">
        <v>905</v>
      </c>
      <c r="E1019" s="392">
        <v>343360</v>
      </c>
    </row>
    <row r="1020" spans="2:5" x14ac:dyDescent="0.2">
      <c r="B1020" s="119" t="s">
        <v>1951</v>
      </c>
      <c r="C1020" s="389" t="s">
        <v>1817</v>
      </c>
      <c r="D1020" s="142" t="s">
        <v>905</v>
      </c>
      <c r="E1020" s="392">
        <v>421080</v>
      </c>
    </row>
    <row r="1021" spans="2:5" x14ac:dyDescent="0.2">
      <c r="B1021" s="119" t="s">
        <v>1952</v>
      </c>
      <c r="C1021" s="389" t="s">
        <v>1818</v>
      </c>
      <c r="D1021" s="142" t="s">
        <v>905</v>
      </c>
      <c r="E1021" s="392">
        <v>501120</v>
      </c>
    </row>
    <row r="1022" spans="2:5" x14ac:dyDescent="0.2">
      <c r="B1022" s="119" t="s">
        <v>1953</v>
      </c>
      <c r="C1022" s="389" t="s">
        <v>1819</v>
      </c>
      <c r="D1022" s="142" t="s">
        <v>905</v>
      </c>
      <c r="E1022" s="392">
        <v>552160</v>
      </c>
    </row>
    <row r="1023" spans="2:5" x14ac:dyDescent="0.2">
      <c r="B1023" s="119" t="s">
        <v>1954</v>
      </c>
      <c r="C1023" s="389" t="s">
        <v>1820</v>
      </c>
      <c r="D1023" s="142" t="s">
        <v>905</v>
      </c>
      <c r="E1023" s="392">
        <v>663520</v>
      </c>
    </row>
    <row r="1024" spans="2:5" x14ac:dyDescent="0.2">
      <c r="B1024" s="119" t="s">
        <v>1955</v>
      </c>
      <c r="C1024" s="389" t="s">
        <v>1821</v>
      </c>
      <c r="D1024" s="142" t="s">
        <v>905</v>
      </c>
      <c r="E1024" s="392">
        <v>779520</v>
      </c>
    </row>
    <row r="1025" spans="2:5" x14ac:dyDescent="0.2">
      <c r="B1025" s="119" t="s">
        <v>1956</v>
      </c>
      <c r="C1025" s="389" t="s">
        <v>1822</v>
      </c>
      <c r="D1025" s="142" t="s">
        <v>905</v>
      </c>
      <c r="E1025" s="392">
        <v>754000</v>
      </c>
    </row>
    <row r="1026" spans="2:5" x14ac:dyDescent="0.2">
      <c r="B1026" s="119" t="s">
        <v>1957</v>
      </c>
      <c r="C1026" s="389" t="s">
        <v>1823</v>
      </c>
      <c r="D1026" s="142" t="s">
        <v>905</v>
      </c>
      <c r="E1026" s="392">
        <v>785320</v>
      </c>
    </row>
    <row r="1027" spans="2:5" x14ac:dyDescent="0.2">
      <c r="B1027" s="119" t="s">
        <v>1958</v>
      </c>
      <c r="C1027" s="389" t="s">
        <v>1824</v>
      </c>
      <c r="D1027" s="142" t="s">
        <v>905</v>
      </c>
      <c r="E1027" s="392">
        <v>853760</v>
      </c>
    </row>
    <row r="1028" spans="2:5" x14ac:dyDescent="0.2">
      <c r="B1028" s="119" t="s">
        <v>1959</v>
      </c>
      <c r="C1028" s="389" t="s">
        <v>1825</v>
      </c>
      <c r="D1028" s="142" t="s">
        <v>905</v>
      </c>
      <c r="E1028" s="392">
        <v>1121720</v>
      </c>
    </row>
    <row r="1029" spans="2:5" x14ac:dyDescent="0.2">
      <c r="B1029" s="119" t="s">
        <v>1960</v>
      </c>
      <c r="C1029" s="389" t="s">
        <v>1826</v>
      </c>
      <c r="D1029" s="142" t="s">
        <v>905</v>
      </c>
      <c r="E1029" s="392">
        <v>1431440</v>
      </c>
    </row>
    <row r="1030" spans="2:5" x14ac:dyDescent="0.2">
      <c r="B1030" s="119" t="s">
        <v>1961</v>
      </c>
      <c r="C1030" s="389" t="s">
        <v>1827</v>
      </c>
      <c r="D1030" s="142" t="s">
        <v>905</v>
      </c>
      <c r="E1030" s="392">
        <v>969760</v>
      </c>
    </row>
    <row r="1031" spans="2:5" x14ac:dyDescent="0.2">
      <c r="B1031" s="119" t="s">
        <v>1962</v>
      </c>
      <c r="C1031" s="389" t="s">
        <v>1828</v>
      </c>
      <c r="D1031" s="142" t="s">
        <v>905</v>
      </c>
      <c r="E1031" s="392">
        <v>1050960</v>
      </c>
    </row>
    <row r="1032" spans="2:5" x14ac:dyDescent="0.2">
      <c r="B1032" s="119" t="s">
        <v>1963</v>
      </c>
      <c r="C1032" s="389" t="s">
        <v>1829</v>
      </c>
      <c r="D1032" s="142" t="s">
        <v>905</v>
      </c>
      <c r="E1032" s="392">
        <v>1132160</v>
      </c>
    </row>
    <row r="1033" spans="2:5" x14ac:dyDescent="0.2">
      <c r="B1033" s="119" t="s">
        <v>1964</v>
      </c>
      <c r="C1033" s="389" t="s">
        <v>1830</v>
      </c>
      <c r="D1033" s="142" t="s">
        <v>905</v>
      </c>
      <c r="E1033" s="392">
        <v>1271360</v>
      </c>
    </row>
    <row r="1034" spans="2:5" x14ac:dyDescent="0.2">
      <c r="B1034" s="119" t="s">
        <v>1965</v>
      </c>
      <c r="C1034" s="389" t="s">
        <v>1831</v>
      </c>
      <c r="D1034" s="142" t="s">
        <v>905</v>
      </c>
      <c r="E1034" s="392">
        <v>1593840</v>
      </c>
    </row>
    <row r="1035" spans="2:5" ht="13.5" thickBot="1" x14ac:dyDescent="0.25">
      <c r="B1035" s="125" t="s">
        <v>1966</v>
      </c>
      <c r="C1035" s="395" t="s">
        <v>1832</v>
      </c>
      <c r="D1035" s="146" t="s">
        <v>905</v>
      </c>
      <c r="E1035" s="396">
        <v>1995200</v>
      </c>
    </row>
    <row r="1036" spans="2:5" ht="13.5" thickBot="1" x14ac:dyDescent="0.25">
      <c r="B1036" s="373"/>
      <c r="C1036" s="374" t="s">
        <v>1969</v>
      </c>
      <c r="D1036" s="375"/>
      <c r="E1036" s="376"/>
    </row>
    <row r="1037" spans="2:5" x14ac:dyDescent="0.2">
      <c r="B1037" s="1749" t="s">
        <v>2143</v>
      </c>
      <c r="C1037" s="1750"/>
      <c r="D1037" s="1750"/>
      <c r="E1037" s="1750"/>
    </row>
    <row r="1038" spans="2:5" x14ac:dyDescent="0.2">
      <c r="B1038" s="1755" t="s">
        <v>2144</v>
      </c>
      <c r="C1038" s="1756"/>
      <c r="D1038" s="1756"/>
      <c r="E1038" s="1756"/>
    </row>
    <row r="1039" spans="2:5" x14ac:dyDescent="0.2">
      <c r="B1039" s="119">
        <v>100.1</v>
      </c>
      <c r="C1039" s="389" t="s">
        <v>2209</v>
      </c>
      <c r="D1039" s="142" t="s">
        <v>905</v>
      </c>
      <c r="E1039" s="392">
        <f>52000*1.16*1.1</f>
        <v>66352</v>
      </c>
    </row>
    <row r="1040" spans="2:5" x14ac:dyDescent="0.2">
      <c r="B1040" s="119">
        <v>100.2</v>
      </c>
      <c r="C1040" s="389" t="s">
        <v>2208</v>
      </c>
      <c r="D1040" s="142" t="s">
        <v>905</v>
      </c>
      <c r="E1040" s="392">
        <f>E1039</f>
        <v>66352</v>
      </c>
    </row>
    <row r="1041" spans="2:7" x14ac:dyDescent="0.2">
      <c r="B1041" s="119">
        <v>100.3</v>
      </c>
      <c r="C1041" s="389" t="s">
        <v>2210</v>
      </c>
      <c r="D1041" s="142" t="s">
        <v>905</v>
      </c>
      <c r="E1041" s="392">
        <f>58000*1.16*1.1</f>
        <v>74008</v>
      </c>
    </row>
    <row r="1042" spans="2:7" x14ac:dyDescent="0.2">
      <c r="B1042" s="119">
        <v>100.4</v>
      </c>
      <c r="C1042" s="389" t="s">
        <v>2211</v>
      </c>
      <c r="D1042" s="142" t="s">
        <v>905</v>
      </c>
      <c r="E1042" s="392">
        <f>70000*1.16*1.1</f>
        <v>89320</v>
      </c>
    </row>
    <row r="1043" spans="2:7" x14ac:dyDescent="0.2">
      <c r="B1043" s="119">
        <v>100.5</v>
      </c>
      <c r="C1043" s="389" t="s">
        <v>2212</v>
      </c>
      <c r="D1043" s="142" t="s">
        <v>905</v>
      </c>
      <c r="E1043" s="392">
        <f>317000*1.16</f>
        <v>367720</v>
      </c>
    </row>
    <row r="1044" spans="2:7" x14ac:dyDescent="0.2">
      <c r="B1044" s="119">
        <v>100.6</v>
      </c>
      <c r="C1044" s="389" t="s">
        <v>2213</v>
      </c>
      <c r="D1044" s="142" t="s">
        <v>905</v>
      </c>
      <c r="E1044" s="392">
        <f>360000*1.16</f>
        <v>417600</v>
      </c>
    </row>
    <row r="1045" spans="2:7" x14ac:dyDescent="0.2">
      <c r="B1045" s="681">
        <v>100.7</v>
      </c>
      <c r="C1045" s="687" t="s">
        <v>2210</v>
      </c>
      <c r="D1045" s="688" t="s">
        <v>905</v>
      </c>
      <c r="E1045" s="689">
        <f>E1041</f>
        <v>74008</v>
      </c>
    </row>
    <row r="1046" spans="2:7" x14ac:dyDescent="0.2">
      <c r="B1046" s="681">
        <v>100.8</v>
      </c>
      <c r="C1046" s="687" t="s">
        <v>2214</v>
      </c>
      <c r="D1046" s="688" t="s">
        <v>905</v>
      </c>
      <c r="E1046" s="689">
        <f>120000*1.16*1.1</f>
        <v>153120</v>
      </c>
    </row>
    <row r="1047" spans="2:7" x14ac:dyDescent="0.2">
      <c r="B1047" s="681">
        <v>100.9</v>
      </c>
      <c r="C1047" s="687" t="s">
        <v>2215</v>
      </c>
      <c r="D1047" s="688" t="s">
        <v>905</v>
      </c>
      <c r="E1047" s="689">
        <f>160000*1.16*1.1</f>
        <v>204160.00000000003</v>
      </c>
    </row>
    <row r="1048" spans="2:7" x14ac:dyDescent="0.2">
      <c r="B1048" s="119">
        <v>100.11</v>
      </c>
      <c r="C1048" s="389" t="s">
        <v>2212</v>
      </c>
      <c r="D1048" s="142" t="s">
        <v>905</v>
      </c>
      <c r="E1048" s="392">
        <f>317000*1.16</f>
        <v>367720</v>
      </c>
    </row>
    <row r="1049" spans="2:7" x14ac:dyDescent="0.2">
      <c r="B1049" s="119">
        <v>100.12</v>
      </c>
      <c r="C1049" s="389" t="s">
        <v>2213</v>
      </c>
      <c r="D1049" s="142" t="s">
        <v>905</v>
      </c>
      <c r="E1049" s="392">
        <f>360000*1.16</f>
        <v>417600</v>
      </c>
    </row>
    <row r="1050" spans="2:7" x14ac:dyDescent="0.2">
      <c r="B1050" s="119">
        <v>100.13</v>
      </c>
      <c r="C1050" s="389" t="s">
        <v>2216</v>
      </c>
      <c r="D1050" s="142" t="s">
        <v>905</v>
      </c>
      <c r="E1050" s="392">
        <f>1200000*1.16</f>
        <v>1392000</v>
      </c>
    </row>
    <row r="1051" spans="2:7" x14ac:dyDescent="0.2">
      <c r="B1051" s="119">
        <v>100.14</v>
      </c>
      <c r="C1051" s="389" t="s">
        <v>2217</v>
      </c>
      <c r="D1051" s="142" t="s">
        <v>905</v>
      </c>
      <c r="E1051" s="392">
        <f>920000*1.16</f>
        <v>1067200</v>
      </c>
    </row>
    <row r="1052" spans="2:7" x14ac:dyDescent="0.2">
      <c r="B1052" s="1749" t="s">
        <v>2168</v>
      </c>
      <c r="C1052" s="1750"/>
      <c r="D1052" s="1750"/>
      <c r="E1052" s="1750"/>
    </row>
    <row r="1053" spans="2:7" x14ac:dyDescent="0.2">
      <c r="B1053" s="119">
        <v>75.099999999999994</v>
      </c>
      <c r="C1053" s="389" t="s">
        <v>2218</v>
      </c>
      <c r="D1053" s="142" t="s">
        <v>905</v>
      </c>
      <c r="E1053" s="392">
        <f>2200000*1.16</f>
        <v>2552000</v>
      </c>
      <c r="F1053" s="1434"/>
      <c r="G1053" s="2"/>
    </row>
    <row r="1054" spans="2:7" x14ac:dyDescent="0.2">
      <c r="B1054" s="681">
        <v>75.2</v>
      </c>
      <c r="C1054" s="687" t="s">
        <v>2219</v>
      </c>
      <c r="D1054" s="688" t="s">
        <v>905</v>
      </c>
      <c r="E1054" s="689">
        <f>113000*1.16*1.1</f>
        <v>144188</v>
      </c>
      <c r="F1054" s="1434"/>
      <c r="G1054" s="2"/>
    </row>
    <row r="1055" spans="2:7" x14ac:dyDescent="0.2">
      <c r="B1055" s="681">
        <v>75.3</v>
      </c>
      <c r="C1055" s="687" t="s">
        <v>2221</v>
      </c>
      <c r="D1055" s="688" t="s">
        <v>905</v>
      </c>
      <c r="E1055" s="689">
        <f>80000*1.16*1.1</f>
        <v>102080.00000000001</v>
      </c>
      <c r="F1055" s="1434"/>
      <c r="G1055" s="2"/>
    </row>
    <row r="1056" spans="2:7" x14ac:dyDescent="0.2">
      <c r="B1056" s="681">
        <v>75.400000000000006</v>
      </c>
      <c r="C1056" s="687" t="s">
        <v>2220</v>
      </c>
      <c r="D1056" s="688" t="s">
        <v>905</v>
      </c>
      <c r="E1056" s="689">
        <f>55000*1.16*1.1</f>
        <v>70180</v>
      </c>
      <c r="F1056" s="1434"/>
      <c r="G1056" s="2"/>
    </row>
    <row r="1057" spans="2:7" x14ac:dyDescent="0.2">
      <c r="B1057" s="681">
        <v>75.5</v>
      </c>
      <c r="C1057" s="687" t="s">
        <v>2222</v>
      </c>
      <c r="D1057" s="688" t="s">
        <v>905</v>
      </c>
      <c r="E1057" s="689">
        <f>244000*1.16*1.1</f>
        <v>311344</v>
      </c>
      <c r="F1057" s="1434"/>
      <c r="G1057" s="2"/>
    </row>
    <row r="1058" spans="2:7" ht="13.5" thickBot="1" x14ac:dyDescent="0.25">
      <c r="B1058" s="1757" t="s">
        <v>2167</v>
      </c>
      <c r="C1058" s="1757"/>
      <c r="D1058" s="1757"/>
      <c r="E1058" s="1757"/>
      <c r="F1058" s="1435"/>
    </row>
    <row r="1059" spans="2:7" ht="15" x14ac:dyDescent="0.25">
      <c r="B1059" s="126">
        <v>76.099999999999994</v>
      </c>
      <c r="C1059" s="388" t="s">
        <v>2223</v>
      </c>
      <c r="D1059" s="141" t="s">
        <v>905</v>
      </c>
      <c r="E1059" s="692">
        <f>1871000*1.16</f>
        <v>2170360</v>
      </c>
      <c r="F1059" s="1436"/>
      <c r="G1059" s="2"/>
    </row>
    <row r="1060" spans="2:7" ht="15" x14ac:dyDescent="0.25">
      <c r="B1060" s="119">
        <v>76.3</v>
      </c>
      <c r="C1060" s="389" t="s">
        <v>2224</v>
      </c>
      <c r="D1060" s="142" t="s">
        <v>905</v>
      </c>
      <c r="E1060" s="392">
        <f>1623000*1.16</f>
        <v>1882679.9999999998</v>
      </c>
      <c r="F1060" s="1436"/>
      <c r="G1060" s="2"/>
    </row>
    <row r="1061" spans="2:7" ht="15" x14ac:dyDescent="0.25">
      <c r="B1061" s="119">
        <v>76.400000000000006</v>
      </c>
      <c r="C1061" s="389" t="s">
        <v>2225</v>
      </c>
      <c r="D1061" s="142" t="s">
        <v>905</v>
      </c>
      <c r="E1061" s="392">
        <f>1065000*1.16</f>
        <v>1235400</v>
      </c>
      <c r="F1061" s="1436"/>
      <c r="G1061" s="2"/>
    </row>
    <row r="1062" spans="2:7" ht="15" x14ac:dyDescent="0.25">
      <c r="B1062" s="119">
        <v>76.5</v>
      </c>
      <c r="C1062" s="389" t="s">
        <v>2226</v>
      </c>
      <c r="D1062" s="142" t="s">
        <v>905</v>
      </c>
      <c r="E1062" s="392">
        <f>1997000*1.16</f>
        <v>2316520</v>
      </c>
      <c r="F1062" s="1436"/>
      <c r="G1062" s="2"/>
    </row>
    <row r="1063" spans="2:7" ht="15" x14ac:dyDescent="0.25">
      <c r="B1063" s="119">
        <v>76.599999999999994</v>
      </c>
      <c r="C1063" s="389" t="s">
        <v>2227</v>
      </c>
      <c r="D1063" s="142" t="s">
        <v>905</v>
      </c>
      <c r="E1063" s="392">
        <f>68000*1.16</f>
        <v>78880</v>
      </c>
      <c r="F1063" s="1436"/>
      <c r="G1063" s="2"/>
    </row>
    <row r="1064" spans="2:7" ht="15" x14ac:dyDescent="0.25">
      <c r="B1064" s="119">
        <v>76.7</v>
      </c>
      <c r="C1064" s="389" t="s">
        <v>2228</v>
      </c>
      <c r="D1064" s="142" t="s">
        <v>905</v>
      </c>
      <c r="E1064" s="392">
        <f>800000*1.16</f>
        <v>927999.99999999988</v>
      </c>
      <c r="F1064" s="1436"/>
      <c r="G1064" s="2"/>
    </row>
    <row r="1065" spans="2:7" ht="15" x14ac:dyDescent="0.25">
      <c r="B1065" s="119">
        <v>76.8</v>
      </c>
      <c r="C1065" s="389" t="s">
        <v>2229</v>
      </c>
      <c r="D1065" s="142" t="s">
        <v>905</v>
      </c>
      <c r="E1065" s="392">
        <f>227000*1.16</f>
        <v>263320</v>
      </c>
      <c r="F1065" s="1436"/>
      <c r="G1065" s="2"/>
    </row>
    <row r="1066" spans="2:7" ht="15" x14ac:dyDescent="0.25">
      <c r="B1066" s="119">
        <v>76.900000000000006</v>
      </c>
      <c r="C1066" s="389" t="s">
        <v>2230</v>
      </c>
      <c r="D1066" s="142" t="s">
        <v>905</v>
      </c>
      <c r="E1066" s="392">
        <f>759000*1.16</f>
        <v>880439.99999999988</v>
      </c>
      <c r="F1066" s="1436"/>
      <c r="G1066" s="2"/>
    </row>
    <row r="1067" spans="2:7" ht="15" x14ac:dyDescent="0.25">
      <c r="B1067" s="119">
        <v>77</v>
      </c>
      <c r="C1067" s="389" t="s">
        <v>2231</v>
      </c>
      <c r="D1067" s="142" t="s">
        <v>905</v>
      </c>
      <c r="E1067" s="392">
        <f>733000*1.16</f>
        <v>850279.99999999988</v>
      </c>
      <c r="F1067" s="1436"/>
      <c r="G1067" s="2"/>
    </row>
    <row r="1068" spans="2:7" ht="15" x14ac:dyDescent="0.25">
      <c r="B1068" s="119">
        <v>77.099999999999994</v>
      </c>
      <c r="C1068" s="389" t="s">
        <v>2232</v>
      </c>
      <c r="D1068" s="142" t="s">
        <v>905</v>
      </c>
      <c r="E1068" s="392">
        <f>600000*1.16</f>
        <v>696000</v>
      </c>
      <c r="F1068" s="1436"/>
      <c r="G1068" s="2"/>
    </row>
    <row r="1069" spans="2:7" ht="15" x14ac:dyDescent="0.25">
      <c r="B1069" s="681">
        <v>77.2</v>
      </c>
      <c r="C1069" s="687" t="s">
        <v>2233</v>
      </c>
      <c r="D1069" s="688" t="s">
        <v>905</v>
      </c>
      <c r="E1069" s="689">
        <f>101000*1.16*1.1</f>
        <v>128876</v>
      </c>
      <c r="F1069" s="1436"/>
      <c r="G1069" s="2"/>
    </row>
    <row r="1070" spans="2:7" ht="15" x14ac:dyDescent="0.25">
      <c r="B1070" s="681">
        <v>77.3</v>
      </c>
      <c r="C1070" s="687" t="s">
        <v>2234</v>
      </c>
      <c r="D1070" s="688" t="s">
        <v>905</v>
      </c>
      <c r="E1070" s="689">
        <f>107000*1.16*1.1</f>
        <v>136532</v>
      </c>
      <c r="F1070" s="1436"/>
      <c r="G1070" s="2"/>
    </row>
    <row r="1071" spans="2:7" ht="15" x14ac:dyDescent="0.25">
      <c r="B1071" s="119">
        <v>77.400000000000006</v>
      </c>
      <c r="C1071" s="389" t="s">
        <v>2235</v>
      </c>
      <c r="D1071" s="142" t="s">
        <v>905</v>
      </c>
      <c r="E1071" s="392">
        <f>95000*1.16</f>
        <v>110199.99999999999</v>
      </c>
      <c r="F1071" s="1436"/>
      <c r="G1071" s="2"/>
    </row>
    <row r="1072" spans="2:7" ht="15" x14ac:dyDescent="0.25">
      <c r="B1072" s="119">
        <v>77.5</v>
      </c>
      <c r="C1072" s="389" t="s">
        <v>2236</v>
      </c>
      <c r="D1072" s="142" t="s">
        <v>905</v>
      </c>
      <c r="E1072" s="392">
        <f>54000*1.16</f>
        <v>62639.999999999993</v>
      </c>
      <c r="F1072" s="1436"/>
      <c r="G1072" s="2"/>
    </row>
    <row r="1073" spans="2:7" ht="15" x14ac:dyDescent="0.25">
      <c r="B1073" s="119">
        <v>77.599999999999994</v>
      </c>
      <c r="C1073" s="389" t="s">
        <v>2237</v>
      </c>
      <c r="D1073" s="142" t="s">
        <v>905</v>
      </c>
      <c r="E1073" s="392">
        <f>227000*1.16</f>
        <v>263320</v>
      </c>
      <c r="F1073" s="1436"/>
      <c r="G1073" s="2"/>
    </row>
    <row r="1074" spans="2:7" ht="15" x14ac:dyDescent="0.25">
      <c r="B1074" s="119" t="s">
        <v>2251</v>
      </c>
      <c r="C1074" s="389" t="s">
        <v>2252</v>
      </c>
      <c r="D1074" s="142" t="s">
        <v>905</v>
      </c>
      <c r="E1074" s="392">
        <f>207000*1.16</f>
        <v>240119.99999999997</v>
      </c>
      <c r="F1074" s="1436"/>
      <c r="G1074" s="2"/>
    </row>
    <row r="1075" spans="2:7" ht="15" x14ac:dyDescent="0.25">
      <c r="B1075" s="119">
        <v>77.7</v>
      </c>
      <c r="C1075" s="389" t="s">
        <v>2238</v>
      </c>
      <c r="D1075" s="142" t="s">
        <v>905</v>
      </c>
      <c r="E1075" s="392">
        <f>466000*1.16</f>
        <v>540560</v>
      </c>
      <c r="F1075" s="1436"/>
      <c r="G1075" s="2"/>
    </row>
    <row r="1076" spans="2:7" ht="15" x14ac:dyDescent="0.25">
      <c r="B1076" s="119">
        <v>77.8</v>
      </c>
      <c r="C1076" s="389" t="s">
        <v>2239</v>
      </c>
      <c r="D1076" s="142" t="s">
        <v>905</v>
      </c>
      <c r="E1076" s="392">
        <f>932000*1.16</f>
        <v>1081120</v>
      </c>
      <c r="F1076" s="1436"/>
      <c r="G1076" s="2"/>
    </row>
    <row r="1077" spans="2:7" ht="15" x14ac:dyDescent="0.25">
      <c r="B1077" s="685" t="s">
        <v>2565</v>
      </c>
      <c r="C1077" s="687" t="s">
        <v>2571</v>
      </c>
      <c r="D1077" s="688" t="s">
        <v>905</v>
      </c>
      <c r="E1077" s="689">
        <f>73000*1.16*1.1</f>
        <v>93148.000000000015</v>
      </c>
      <c r="F1077" s="1436"/>
      <c r="G1077" s="2"/>
    </row>
    <row r="1078" spans="2:7" ht="15" x14ac:dyDescent="0.25">
      <c r="B1078" s="685" t="s">
        <v>2566</v>
      </c>
      <c r="C1078" s="687" t="s">
        <v>2572</v>
      </c>
      <c r="D1078" s="688" t="s">
        <v>905</v>
      </c>
      <c r="E1078" s="689">
        <f>116000*1.16*1.1</f>
        <v>148016</v>
      </c>
      <c r="F1078" s="1436"/>
      <c r="G1078" s="2"/>
    </row>
    <row r="1079" spans="2:7" ht="15" x14ac:dyDescent="0.25">
      <c r="B1079" s="685" t="s">
        <v>2567</v>
      </c>
      <c r="C1079" s="687" t="s">
        <v>2573</v>
      </c>
      <c r="D1079" s="688" t="s">
        <v>905</v>
      </c>
      <c r="E1079" s="689">
        <f>133000*1.16*1.1</f>
        <v>169708</v>
      </c>
      <c r="F1079" s="1436"/>
      <c r="G1079" s="2"/>
    </row>
    <row r="1080" spans="2:7" ht="15" x14ac:dyDescent="0.25">
      <c r="B1080" s="685" t="s">
        <v>2568</v>
      </c>
      <c r="C1080" s="687" t="s">
        <v>2574</v>
      </c>
      <c r="D1080" s="688" t="s">
        <v>905</v>
      </c>
      <c r="E1080" s="689">
        <f>333000*1.16*1.1</f>
        <v>424908.00000000006</v>
      </c>
      <c r="F1080" s="1436"/>
      <c r="G1080" s="2"/>
    </row>
    <row r="1081" spans="2:7" ht="15" x14ac:dyDescent="0.25">
      <c r="B1081" s="685" t="s">
        <v>2569</v>
      </c>
      <c r="C1081" s="687" t="s">
        <v>2575</v>
      </c>
      <c r="D1081" s="688" t="s">
        <v>905</v>
      </c>
      <c r="E1081" s="689">
        <f>227000*1.16*1.1</f>
        <v>289652</v>
      </c>
      <c r="F1081" s="1436"/>
      <c r="G1081" s="2"/>
    </row>
    <row r="1082" spans="2:7" ht="15.75" thickBot="1" x14ac:dyDescent="0.3">
      <c r="B1082" s="693" t="s">
        <v>2570</v>
      </c>
      <c r="C1082" s="694" t="s">
        <v>2576</v>
      </c>
      <c r="D1082" s="688" t="s">
        <v>905</v>
      </c>
      <c r="E1082" s="689">
        <f>466000*1.16*1.1</f>
        <v>594616</v>
      </c>
      <c r="F1082" s="1436"/>
      <c r="G1082" s="2"/>
    </row>
    <row r="1083" spans="2:7" ht="13.5" thickBot="1" x14ac:dyDescent="0.25">
      <c r="B1083" s="1751" t="s">
        <v>2169</v>
      </c>
      <c r="C1083" s="1752"/>
      <c r="D1083" s="1752"/>
      <c r="E1083" s="1753"/>
    </row>
    <row r="1084" spans="2:7" x14ac:dyDescent="0.2">
      <c r="B1084" s="690">
        <v>77.900000000000006</v>
      </c>
      <c r="C1084" s="691" t="s">
        <v>2240</v>
      </c>
      <c r="D1084" s="688" t="s">
        <v>905</v>
      </c>
      <c r="E1084" s="689">
        <f>74000*1.16*1.2</f>
        <v>103008</v>
      </c>
      <c r="F1084" s="1434"/>
    </row>
    <row r="1085" spans="2:7" x14ac:dyDescent="0.2">
      <c r="B1085" s="681">
        <v>78</v>
      </c>
      <c r="C1085" s="687" t="s">
        <v>2241</v>
      </c>
      <c r="D1085" s="688" t="s">
        <v>905</v>
      </c>
      <c r="E1085" s="689">
        <f>51000*1.16*1.2</f>
        <v>70991.999999999985</v>
      </c>
      <c r="F1085" s="1434"/>
      <c r="G1085" s="2"/>
    </row>
    <row r="1086" spans="2:7" x14ac:dyDescent="0.2">
      <c r="B1086" s="119">
        <v>78.099999999999994</v>
      </c>
      <c r="C1086" s="389" t="s">
        <v>2242</v>
      </c>
      <c r="D1086" s="142" t="s">
        <v>905</v>
      </c>
      <c r="E1086" s="392">
        <f>1785000*1.16</f>
        <v>2070599.9999999998</v>
      </c>
      <c r="F1086" s="1434"/>
      <c r="G1086" s="2"/>
    </row>
    <row r="1087" spans="2:7" x14ac:dyDescent="0.2">
      <c r="B1087" s="119">
        <v>78.2</v>
      </c>
      <c r="C1087" s="389" t="s">
        <v>2243</v>
      </c>
      <c r="D1087" s="142" t="s">
        <v>905</v>
      </c>
      <c r="E1087" s="392">
        <f>616000*1.16</f>
        <v>714560</v>
      </c>
      <c r="F1087" s="1434"/>
      <c r="G1087" s="2"/>
    </row>
    <row r="1088" spans="2:7" x14ac:dyDescent="0.2">
      <c r="B1088" s="119">
        <v>78.3</v>
      </c>
      <c r="C1088" s="389" t="s">
        <v>2244</v>
      </c>
      <c r="D1088" s="142" t="s">
        <v>905</v>
      </c>
      <c r="E1088" s="392">
        <f>460000*1.16</f>
        <v>533600</v>
      </c>
      <c r="F1088" s="1434"/>
      <c r="G1088" s="2"/>
    </row>
    <row r="1089" spans="2:7" x14ac:dyDescent="0.2">
      <c r="B1089" s="119">
        <v>78.400000000000006</v>
      </c>
      <c r="C1089" s="389" t="s">
        <v>2245</v>
      </c>
      <c r="D1089" s="142" t="s">
        <v>905</v>
      </c>
      <c r="E1089" s="392">
        <f>908000*1.16</f>
        <v>1053280</v>
      </c>
      <c r="F1089" s="1434"/>
      <c r="G1089" s="2"/>
    </row>
    <row r="1090" spans="2:7" x14ac:dyDescent="0.2">
      <c r="B1090" s="119">
        <v>78.5</v>
      </c>
      <c r="C1090" s="389" t="s">
        <v>2246</v>
      </c>
      <c r="D1090" s="142" t="s">
        <v>905</v>
      </c>
      <c r="E1090" s="392">
        <f>847000*1.16</f>
        <v>982519.99999999988</v>
      </c>
      <c r="F1090" s="1434"/>
      <c r="G1090" s="2"/>
    </row>
    <row r="1091" spans="2:7" x14ac:dyDescent="0.2">
      <c r="B1091" s="681">
        <v>78.599999999999994</v>
      </c>
      <c r="C1091" s="687" t="s">
        <v>2247</v>
      </c>
      <c r="D1091" s="688" t="s">
        <v>905</v>
      </c>
      <c r="E1091" s="689">
        <f>44000*1.1*1.16</f>
        <v>56144.000000000007</v>
      </c>
      <c r="F1091" s="1434"/>
      <c r="G1091" s="2"/>
    </row>
    <row r="1092" spans="2:7" x14ac:dyDescent="0.2">
      <c r="B1092" s="119">
        <v>78.7</v>
      </c>
      <c r="C1092" s="389" t="s">
        <v>2248</v>
      </c>
      <c r="D1092" s="142" t="s">
        <v>905</v>
      </c>
      <c r="E1092" s="392">
        <f>186000*1.16</f>
        <v>215759.99999999997</v>
      </c>
      <c r="F1092" s="1434"/>
      <c r="G1092" s="2"/>
    </row>
    <row r="1093" spans="2:7" x14ac:dyDescent="0.2">
      <c r="B1093" s="681">
        <v>78.8</v>
      </c>
      <c r="C1093" s="687" t="s">
        <v>2249</v>
      </c>
      <c r="D1093" s="688" t="s">
        <v>905</v>
      </c>
      <c r="E1093" s="689">
        <f>120000*1.16*1.1</f>
        <v>153120</v>
      </c>
      <c r="F1093" s="1434"/>
      <c r="G1093" s="2"/>
    </row>
    <row r="1094" spans="2:7" x14ac:dyDescent="0.2">
      <c r="B1094" s="119">
        <v>78.900000000000006</v>
      </c>
      <c r="C1094" s="389" t="s">
        <v>2250</v>
      </c>
      <c r="D1094" s="142" t="s">
        <v>905</v>
      </c>
      <c r="E1094" s="392">
        <f>666000*1.16*1.1</f>
        <v>849816.00000000012</v>
      </c>
      <c r="F1094" s="1434"/>
      <c r="G1094" s="2"/>
    </row>
    <row r="1095" spans="2:7" x14ac:dyDescent="0.2">
      <c r="B1095" s="685" t="s">
        <v>2577</v>
      </c>
      <c r="C1095" s="687" t="s">
        <v>2579</v>
      </c>
      <c r="D1095" s="688" t="s">
        <v>905</v>
      </c>
      <c r="E1095" s="689">
        <f>146000*1.16*1.1</f>
        <v>186296.00000000003</v>
      </c>
      <c r="F1095" s="1434"/>
      <c r="G1095" s="2"/>
    </row>
    <row r="1096" spans="2:7" ht="13.5" thickBot="1" x14ac:dyDescent="0.25">
      <c r="B1096" s="693" t="s">
        <v>2578</v>
      </c>
      <c r="C1096" s="694" t="s">
        <v>2580</v>
      </c>
      <c r="D1096" s="688" t="s">
        <v>905</v>
      </c>
      <c r="E1096" s="689">
        <f>242000*1.16*1.1</f>
        <v>308792</v>
      </c>
      <c r="F1096" s="1434"/>
      <c r="G1096" s="2"/>
    </row>
    <row r="1097" spans="2:7" ht="13.5" thickBot="1" x14ac:dyDescent="0.25">
      <c r="B1097" s="1751" t="s">
        <v>2170</v>
      </c>
      <c r="C1097" s="1758"/>
      <c r="D1097" s="1758"/>
      <c r="E1097" s="1759"/>
    </row>
    <row r="1098" spans="2:7" x14ac:dyDescent="0.2">
      <c r="B1098" s="119">
        <v>79</v>
      </c>
      <c r="C1098" s="389" t="s">
        <v>2171</v>
      </c>
      <c r="D1098" s="142" t="s">
        <v>905</v>
      </c>
      <c r="E1098" s="392">
        <f>920000*1.16</f>
        <v>1067200</v>
      </c>
      <c r="F1098" s="1434"/>
      <c r="G1098" s="2"/>
    </row>
    <row r="1099" spans="2:7" x14ac:dyDescent="0.2">
      <c r="B1099" s="119">
        <v>79.099999999999994</v>
      </c>
      <c r="C1099" s="389" t="s">
        <v>2172</v>
      </c>
      <c r="D1099" s="142" t="s">
        <v>905</v>
      </c>
      <c r="E1099" s="392">
        <f>73000*1.16</f>
        <v>84680</v>
      </c>
      <c r="F1099" s="1434"/>
      <c r="G1099" s="2"/>
    </row>
    <row r="1100" spans="2:7" x14ac:dyDescent="0.2">
      <c r="B1100" s="119">
        <v>79.2</v>
      </c>
      <c r="C1100" s="389" t="s">
        <v>2173</v>
      </c>
      <c r="D1100" s="142" t="s">
        <v>905</v>
      </c>
      <c r="E1100" s="392">
        <f>326000*1.16</f>
        <v>378160</v>
      </c>
      <c r="F1100" s="1434"/>
      <c r="G1100" s="2"/>
    </row>
    <row r="1101" spans="2:7" x14ac:dyDescent="0.2">
      <c r="B1101" s="119">
        <v>79.3</v>
      </c>
      <c r="C1101" s="389" t="s">
        <v>2174</v>
      </c>
      <c r="D1101" s="142" t="s">
        <v>905</v>
      </c>
      <c r="E1101" s="392">
        <f>739000*1.16</f>
        <v>857239.99999999988</v>
      </c>
      <c r="F1101" s="1434"/>
      <c r="G1101" s="2"/>
    </row>
    <row r="1102" spans="2:7" x14ac:dyDescent="0.2">
      <c r="B1102" s="119">
        <v>79.400000000000006</v>
      </c>
      <c r="C1102" s="389" t="s">
        <v>2175</v>
      </c>
      <c r="D1102" s="142" t="s">
        <v>905</v>
      </c>
      <c r="E1102" s="392">
        <f>475000*1.16</f>
        <v>551000</v>
      </c>
      <c r="F1102" s="1434"/>
      <c r="G1102" s="2"/>
    </row>
    <row r="1103" spans="2:7" x14ac:dyDescent="0.2">
      <c r="B1103" s="681">
        <v>79.5</v>
      </c>
      <c r="C1103" s="687" t="s">
        <v>2176</v>
      </c>
      <c r="D1103" s="688" t="s">
        <v>905</v>
      </c>
      <c r="E1103" s="689">
        <f>186000*1.16*1.1</f>
        <v>237336</v>
      </c>
      <c r="F1103" s="1434"/>
      <c r="G1103" s="2"/>
    </row>
    <row r="1104" spans="2:7" x14ac:dyDescent="0.2">
      <c r="B1104" s="119">
        <v>79.599999999999994</v>
      </c>
      <c r="C1104" s="389" t="s">
        <v>2177</v>
      </c>
      <c r="D1104" s="142" t="s">
        <v>905</v>
      </c>
      <c r="E1104" s="392">
        <f>155000*1.16</f>
        <v>179800</v>
      </c>
      <c r="F1104" s="1434"/>
      <c r="G1104" s="2"/>
    </row>
    <row r="1105" spans="2:8" x14ac:dyDescent="0.2">
      <c r="B1105" s="119">
        <v>79.7</v>
      </c>
      <c r="C1105" s="389" t="s">
        <v>2178</v>
      </c>
      <c r="D1105" s="142" t="s">
        <v>905</v>
      </c>
      <c r="E1105" s="392">
        <f>524000*1.16</f>
        <v>607840</v>
      </c>
      <c r="F1105" s="1434"/>
      <c r="G1105" s="2"/>
    </row>
    <row r="1106" spans="2:8" x14ac:dyDescent="0.2">
      <c r="B1106" s="681">
        <v>79.8</v>
      </c>
      <c r="C1106" s="687" t="s">
        <v>2179</v>
      </c>
      <c r="D1106" s="688" t="s">
        <v>905</v>
      </c>
      <c r="E1106" s="689">
        <f>122000*1.16*1.1</f>
        <v>155672</v>
      </c>
      <c r="F1106" s="1434"/>
      <c r="G1106" s="2"/>
    </row>
    <row r="1107" spans="2:8" x14ac:dyDescent="0.2">
      <c r="B1107" s="119">
        <v>79.900000000000006</v>
      </c>
      <c r="C1107" s="389" t="s">
        <v>2180</v>
      </c>
      <c r="D1107" s="142" t="s">
        <v>905</v>
      </c>
      <c r="E1107" s="392">
        <f>745000*1.16</f>
        <v>864199.99999999988</v>
      </c>
      <c r="F1107" s="1434"/>
      <c r="G1107" s="2"/>
    </row>
    <row r="1108" spans="2:8" x14ac:dyDescent="0.2">
      <c r="B1108" s="119">
        <v>80</v>
      </c>
      <c r="C1108" s="389" t="s">
        <v>2181</v>
      </c>
      <c r="D1108" s="142" t="s">
        <v>905</v>
      </c>
      <c r="E1108" s="392">
        <f>716000*1.16</f>
        <v>830560</v>
      </c>
      <c r="F1108" s="1434"/>
      <c r="G1108" s="2"/>
    </row>
    <row r="1109" spans="2:8" x14ac:dyDescent="0.2">
      <c r="B1109" s="119">
        <v>80.099999999999994</v>
      </c>
      <c r="C1109" s="389" t="s">
        <v>2182</v>
      </c>
      <c r="D1109" s="142" t="s">
        <v>905</v>
      </c>
      <c r="E1109" s="392">
        <f>997000*1.16</f>
        <v>1156520</v>
      </c>
      <c r="F1109" s="1434"/>
      <c r="G1109" s="2"/>
    </row>
    <row r="1110" spans="2:8" x14ac:dyDescent="0.2">
      <c r="B1110" s="119">
        <v>80.2</v>
      </c>
      <c r="C1110" s="389" t="s">
        <v>2183</v>
      </c>
      <c r="D1110" s="142" t="s">
        <v>905</v>
      </c>
      <c r="E1110" s="392">
        <f>1892000*1.16</f>
        <v>2194720</v>
      </c>
      <c r="F1110" s="1434"/>
      <c r="G1110" s="2"/>
    </row>
    <row r="1111" spans="2:8" x14ac:dyDescent="0.2">
      <c r="B1111" s="119">
        <v>80.3</v>
      </c>
      <c r="C1111" s="389" t="s">
        <v>2184</v>
      </c>
      <c r="D1111" s="142" t="s">
        <v>905</v>
      </c>
      <c r="E1111" s="392">
        <f>106000*1.16</f>
        <v>122959.99999999999</v>
      </c>
      <c r="F1111" s="1434"/>
      <c r="G1111" s="2"/>
    </row>
    <row r="1112" spans="2:8" x14ac:dyDescent="0.2">
      <c r="B1112" s="119">
        <v>80.400000000000006</v>
      </c>
      <c r="C1112" s="389" t="s">
        <v>2185</v>
      </c>
      <c r="D1112" s="142" t="s">
        <v>905</v>
      </c>
      <c r="E1112" s="392">
        <f>246000*1.16</f>
        <v>285360</v>
      </c>
      <c r="F1112" s="1434"/>
      <c r="G1112" s="2"/>
    </row>
    <row r="1113" spans="2:8" x14ac:dyDescent="0.2">
      <c r="B1113" s="119">
        <v>80.5</v>
      </c>
      <c r="C1113" s="389" t="s">
        <v>2186</v>
      </c>
      <c r="D1113" s="142" t="s">
        <v>905</v>
      </c>
      <c r="E1113" s="392">
        <f>399000*1.16</f>
        <v>462839.99999999994</v>
      </c>
      <c r="F1113" s="1434"/>
      <c r="G1113" s="2"/>
    </row>
    <row r="1114" spans="2:8" x14ac:dyDescent="0.2">
      <c r="B1114" s="1749" t="s">
        <v>2160</v>
      </c>
      <c r="C1114" s="1749"/>
      <c r="D1114" s="1749"/>
      <c r="E1114" s="1749"/>
    </row>
    <row r="1115" spans="2:8" x14ac:dyDescent="0.2">
      <c r="B1115" s="119">
        <v>80.599999999999994</v>
      </c>
      <c r="C1115" s="389" t="s">
        <v>2187</v>
      </c>
      <c r="D1115" s="142" t="s">
        <v>905</v>
      </c>
      <c r="E1115" s="392">
        <f>44000*1.16</f>
        <v>51040</v>
      </c>
      <c r="F1115" s="1434"/>
      <c r="G1115" s="2"/>
      <c r="H1115" s="2"/>
    </row>
    <row r="1116" spans="2:8" x14ac:dyDescent="0.2">
      <c r="B1116" s="119">
        <v>80.7</v>
      </c>
      <c r="C1116" s="389" t="s">
        <v>2188</v>
      </c>
      <c r="D1116" s="142" t="s">
        <v>905</v>
      </c>
      <c r="E1116" s="392">
        <f>59000*1.16</f>
        <v>68440</v>
      </c>
      <c r="F1116" s="1434"/>
      <c r="G1116" s="2"/>
      <c r="H1116" s="2"/>
    </row>
    <row r="1117" spans="2:8" x14ac:dyDescent="0.2">
      <c r="B1117" s="119">
        <v>80.8</v>
      </c>
      <c r="C1117" s="389" t="s">
        <v>2189</v>
      </c>
      <c r="D1117" s="142" t="s">
        <v>905</v>
      </c>
      <c r="E1117" s="392">
        <f>68000*1.16</f>
        <v>78880</v>
      </c>
      <c r="F1117" s="1434"/>
      <c r="G1117" s="2"/>
      <c r="H1117" s="2"/>
    </row>
    <row r="1118" spans="2:8" x14ac:dyDescent="0.2">
      <c r="B1118" s="119">
        <v>80.900000000000006</v>
      </c>
      <c r="C1118" s="389" t="s">
        <v>2190</v>
      </c>
      <c r="D1118" s="142" t="s">
        <v>905</v>
      </c>
      <c r="E1118" s="392">
        <f>191000*1.16</f>
        <v>221559.99999999997</v>
      </c>
      <c r="F1118" s="1434"/>
      <c r="G1118" s="2"/>
      <c r="H1118" s="2"/>
    </row>
    <row r="1119" spans="2:8" x14ac:dyDescent="0.2">
      <c r="B1119" s="1755" t="s">
        <v>2161</v>
      </c>
      <c r="C1119" s="1755"/>
      <c r="D1119" s="1755"/>
      <c r="E1119" s="1755"/>
      <c r="G1119" s="2"/>
      <c r="H1119" s="2"/>
    </row>
    <row r="1120" spans="2:8" x14ac:dyDescent="0.2">
      <c r="B1120" s="119">
        <v>90</v>
      </c>
      <c r="C1120" s="389" t="s">
        <v>2191</v>
      </c>
      <c r="D1120" s="142" t="s">
        <v>905</v>
      </c>
      <c r="E1120" s="392">
        <f>3177000*1.16</f>
        <v>3685319.9999999995</v>
      </c>
      <c r="F1120" s="1434"/>
      <c r="G1120" s="2"/>
      <c r="H1120" s="2"/>
    </row>
    <row r="1121" spans="2:8" x14ac:dyDescent="0.2">
      <c r="B1121" s="119" t="s">
        <v>2272</v>
      </c>
      <c r="C1121" s="389" t="s">
        <v>2273</v>
      </c>
      <c r="D1121" s="142" t="s">
        <v>905</v>
      </c>
      <c r="E1121" s="392">
        <f>7320000*1.16</f>
        <v>8491200</v>
      </c>
      <c r="F1121" s="1434"/>
      <c r="G1121" s="2"/>
      <c r="H1121" s="2"/>
    </row>
    <row r="1122" spans="2:8" x14ac:dyDescent="0.2">
      <c r="B1122" s="119">
        <v>90.1</v>
      </c>
      <c r="C1122" s="389" t="s">
        <v>2192</v>
      </c>
      <c r="D1122" s="142" t="s">
        <v>905</v>
      </c>
      <c r="E1122" s="392">
        <f>2541000*1.16</f>
        <v>2947560</v>
      </c>
      <c r="F1122" s="1434"/>
      <c r="G1122" s="2"/>
      <c r="H1122" s="2"/>
    </row>
    <row r="1123" spans="2:8" x14ac:dyDescent="0.2">
      <c r="B1123" s="119">
        <v>90.2</v>
      </c>
      <c r="C1123" s="389" t="s">
        <v>2193</v>
      </c>
      <c r="D1123" s="142" t="s">
        <v>905</v>
      </c>
      <c r="E1123" s="392">
        <f>1222000*1.16</f>
        <v>1417520</v>
      </c>
      <c r="F1123" s="1434"/>
      <c r="G1123" s="2"/>
      <c r="H1123" s="2"/>
    </row>
    <row r="1124" spans="2:8" x14ac:dyDescent="0.2">
      <c r="B1124" s="119">
        <v>90.3</v>
      </c>
      <c r="C1124" s="389" t="s">
        <v>2194</v>
      </c>
      <c r="D1124" s="142" t="s">
        <v>905</v>
      </c>
      <c r="E1124" s="392">
        <f>826000*1.16</f>
        <v>958159.99999999988</v>
      </c>
      <c r="F1124" s="1434"/>
      <c r="G1124" s="2"/>
      <c r="H1124" s="2"/>
    </row>
    <row r="1125" spans="2:8" x14ac:dyDescent="0.2">
      <c r="B1125" s="119">
        <v>90.4</v>
      </c>
      <c r="C1125" s="389" t="s">
        <v>2195</v>
      </c>
      <c r="D1125" s="142" t="s">
        <v>905</v>
      </c>
      <c r="E1125" s="392">
        <f>458000*1.16</f>
        <v>531280</v>
      </c>
      <c r="F1125" s="1434"/>
      <c r="G1125" s="2"/>
      <c r="H1125" s="2"/>
    </row>
    <row r="1126" spans="2:8" x14ac:dyDescent="0.2">
      <c r="B1126" s="119">
        <v>90.5</v>
      </c>
      <c r="C1126" s="389" t="s">
        <v>2196</v>
      </c>
      <c r="D1126" s="142" t="s">
        <v>905</v>
      </c>
      <c r="E1126" s="392">
        <f>353000*1.16</f>
        <v>409480</v>
      </c>
      <c r="F1126" s="1434"/>
      <c r="G1126" s="2"/>
      <c r="H1126" s="2"/>
    </row>
    <row r="1127" spans="2:8" x14ac:dyDescent="0.2">
      <c r="B1127" s="119">
        <v>90.6</v>
      </c>
      <c r="C1127" s="389" t="s">
        <v>2197</v>
      </c>
      <c r="D1127" s="142" t="s">
        <v>905</v>
      </c>
      <c r="E1127" s="392">
        <f>243000*1.16</f>
        <v>281880</v>
      </c>
      <c r="F1127" s="1434"/>
      <c r="G1127" s="2"/>
      <c r="H1127" s="2"/>
    </row>
    <row r="1128" spans="2:8" x14ac:dyDescent="0.2">
      <c r="B1128" s="1749" t="s">
        <v>2162</v>
      </c>
      <c r="C1128" s="1749"/>
      <c r="D1128" s="1749"/>
      <c r="E1128" s="1749"/>
    </row>
    <row r="1129" spans="2:8" x14ac:dyDescent="0.2">
      <c r="B1129" s="119">
        <v>90.7</v>
      </c>
      <c r="C1129" s="389" t="s">
        <v>2163</v>
      </c>
      <c r="D1129" s="142" t="s">
        <v>905</v>
      </c>
      <c r="E1129" s="392">
        <v>45000000</v>
      </c>
      <c r="F1129" s="1437"/>
    </row>
    <row r="1130" spans="2:8" x14ac:dyDescent="0.2">
      <c r="B1130" s="119">
        <v>90.8</v>
      </c>
      <c r="C1130" s="389" t="s">
        <v>2164</v>
      </c>
      <c r="D1130" s="142" t="s">
        <v>905</v>
      </c>
      <c r="E1130" s="392">
        <v>30000000</v>
      </c>
      <c r="F1130" s="1438"/>
    </row>
    <row r="1131" spans="2:8" x14ac:dyDescent="0.2">
      <c r="B1131" s="119">
        <v>90.9</v>
      </c>
      <c r="C1131" s="389" t="s">
        <v>2165</v>
      </c>
      <c r="D1131" s="142" t="s">
        <v>905</v>
      </c>
      <c r="E1131" s="392">
        <v>26000000</v>
      </c>
      <c r="F1131" s="1438"/>
    </row>
    <row r="1132" spans="2:8" x14ac:dyDescent="0.2">
      <c r="B1132" s="119">
        <v>91</v>
      </c>
      <c r="C1132" s="389" t="s">
        <v>2166</v>
      </c>
      <c r="D1132" s="142" t="s">
        <v>905</v>
      </c>
      <c r="E1132" s="392">
        <v>20000000</v>
      </c>
      <c r="F1132" s="1439"/>
    </row>
    <row r="1133" spans="2:8" x14ac:dyDescent="0.2">
      <c r="B1133" s="1749" t="s">
        <v>2198</v>
      </c>
      <c r="C1133" s="1750"/>
      <c r="D1133" s="1750"/>
      <c r="E1133" s="1750"/>
    </row>
    <row r="1134" spans="2:8" x14ac:dyDescent="0.2">
      <c r="B1134" s="119">
        <v>91.1</v>
      </c>
      <c r="C1134" s="389" t="s">
        <v>2199</v>
      </c>
      <c r="D1134" s="142" t="s">
        <v>905</v>
      </c>
      <c r="E1134" s="392">
        <f>38000*1.16</f>
        <v>44080</v>
      </c>
    </row>
    <row r="1135" spans="2:8" x14ac:dyDescent="0.2">
      <c r="B1135" s="119">
        <v>91.2</v>
      </c>
      <c r="C1135" s="389" t="s">
        <v>2200</v>
      </c>
      <c r="D1135" s="142" t="s">
        <v>905</v>
      </c>
      <c r="E1135" s="392">
        <f>78000*1.16</f>
        <v>90480</v>
      </c>
    </row>
    <row r="1136" spans="2:8" x14ac:dyDescent="0.2">
      <c r="B1136" s="119">
        <v>91.3</v>
      </c>
      <c r="C1136" s="389" t="s">
        <v>2201</v>
      </c>
      <c r="D1136" s="142" t="s">
        <v>905</v>
      </c>
      <c r="E1136" s="392">
        <f>105000*1.16</f>
        <v>121799.99999999999</v>
      </c>
    </row>
    <row r="1137" spans="2:5" x14ac:dyDescent="0.2">
      <c r="B1137" s="119">
        <v>91.4</v>
      </c>
      <c r="C1137" s="389" t="s">
        <v>2202</v>
      </c>
      <c r="D1137" s="142" t="s">
        <v>905</v>
      </c>
      <c r="E1137" s="392">
        <f>182000*1.16</f>
        <v>211120</v>
      </c>
    </row>
    <row r="1138" spans="2:5" x14ac:dyDescent="0.2">
      <c r="B1138" s="119">
        <v>91.5</v>
      </c>
      <c r="C1138" s="389" t="s">
        <v>2203</v>
      </c>
      <c r="D1138" s="142" t="s">
        <v>905</v>
      </c>
      <c r="E1138" s="392">
        <f>260000*1.16</f>
        <v>301600</v>
      </c>
    </row>
    <row r="1139" spans="2:5" x14ac:dyDescent="0.2">
      <c r="B1139" s="119">
        <v>91.6</v>
      </c>
      <c r="C1139" s="389" t="s">
        <v>2204</v>
      </c>
      <c r="D1139" s="142" t="s">
        <v>905</v>
      </c>
      <c r="E1139" s="392">
        <f>410000*1.16</f>
        <v>475599.99999999994</v>
      </c>
    </row>
    <row r="1140" spans="2:5" x14ac:dyDescent="0.2">
      <c r="B1140" s="119">
        <v>91.7</v>
      </c>
      <c r="C1140" s="389" t="s">
        <v>2205</v>
      </c>
      <c r="D1140" s="142" t="s">
        <v>905</v>
      </c>
      <c r="E1140" s="392">
        <f>580000*1.16</f>
        <v>672800</v>
      </c>
    </row>
    <row r="1141" spans="2:5" x14ac:dyDescent="0.2">
      <c r="B1141" s="119">
        <v>91.8</v>
      </c>
      <c r="C1141" s="389" t="s">
        <v>2206</v>
      </c>
      <c r="D1141" s="142" t="s">
        <v>905</v>
      </c>
      <c r="E1141" s="392">
        <f>805000*1.16</f>
        <v>933799.99999999988</v>
      </c>
    </row>
    <row r="1142" spans="2:5" x14ac:dyDescent="0.2">
      <c r="B1142" s="119">
        <v>91.9</v>
      </c>
      <c r="C1142" s="389" t="s">
        <v>2207</v>
      </c>
      <c r="D1142" s="142" t="s">
        <v>905</v>
      </c>
      <c r="E1142" s="392">
        <f>1270000*1.16</f>
        <v>1473200</v>
      </c>
    </row>
    <row r="1143" spans="2:5" x14ac:dyDescent="0.2">
      <c r="B1143" s="123"/>
      <c r="C1143" s="123"/>
      <c r="D1143" s="123"/>
      <c r="E1143" s="123"/>
    </row>
    <row r="1144" spans="2:5" x14ac:dyDescent="0.2">
      <c r="B1144" s="338">
        <v>92</v>
      </c>
      <c r="C1144" s="349" t="s">
        <v>2274</v>
      </c>
      <c r="D1144" s="397" t="s">
        <v>904</v>
      </c>
      <c r="E1144" s="398">
        <v>35000</v>
      </c>
    </row>
    <row r="1146" spans="2:5" x14ac:dyDescent="0.2">
      <c r="B1146" s="720"/>
      <c r="C1146" s="719" t="s">
        <v>2642</v>
      </c>
    </row>
    <row r="1147" spans="2:5" ht="25.5" x14ac:dyDescent="0.2">
      <c r="B1147" s="721">
        <v>93.1</v>
      </c>
      <c r="C1147" s="722" t="s">
        <v>2638</v>
      </c>
      <c r="D1147" s="723" t="s">
        <v>905</v>
      </c>
      <c r="E1147" s="398">
        <f>3020000*1.16</f>
        <v>3503199.9999999995</v>
      </c>
    </row>
    <row r="1148" spans="2:5" x14ac:dyDescent="0.2">
      <c r="B1148" s="721">
        <v>93.2</v>
      </c>
      <c r="C1148" s="722" t="s">
        <v>2643</v>
      </c>
      <c r="D1148" s="723" t="s">
        <v>905</v>
      </c>
      <c r="E1148" s="398">
        <f>13152*1.16</f>
        <v>15256.32</v>
      </c>
    </row>
    <row r="1149" spans="2:5" x14ac:dyDescent="0.2">
      <c r="B1149" s="721">
        <v>93.3</v>
      </c>
      <c r="C1149" s="31" t="s">
        <v>2644</v>
      </c>
      <c r="D1149" s="723" t="s">
        <v>905</v>
      </c>
      <c r="E1149" s="398">
        <f>17600*1.16</f>
        <v>20416</v>
      </c>
    </row>
    <row r="1150" spans="2:5" x14ac:dyDescent="0.2">
      <c r="B1150" s="721">
        <v>93.5</v>
      </c>
      <c r="C1150" s="31" t="s">
        <v>2645</v>
      </c>
      <c r="D1150" s="723" t="s">
        <v>905</v>
      </c>
      <c r="E1150" s="398">
        <f>21150*1.16</f>
        <v>24534</v>
      </c>
    </row>
    <row r="1151" spans="2:5" x14ac:dyDescent="0.2">
      <c r="B1151" s="721">
        <v>93.6</v>
      </c>
      <c r="C1151" s="31" t="s">
        <v>2646</v>
      </c>
      <c r="D1151" s="723" t="s">
        <v>905</v>
      </c>
      <c r="E1151" s="398">
        <f>48000*1.16</f>
        <v>55679.999999999993</v>
      </c>
    </row>
    <row r="1152" spans="2:5" x14ac:dyDescent="0.2">
      <c r="B1152" s="721">
        <v>93.7</v>
      </c>
      <c r="C1152" s="31" t="s">
        <v>2647</v>
      </c>
      <c r="D1152" s="723" t="s">
        <v>905</v>
      </c>
      <c r="E1152" s="398">
        <f>46000*1.16</f>
        <v>53359.999999999993</v>
      </c>
    </row>
    <row r="1153" spans="2:5" x14ac:dyDescent="0.2">
      <c r="B1153" s="721">
        <v>93.8</v>
      </c>
      <c r="C1153" s="31" t="s">
        <v>2648</v>
      </c>
      <c r="D1153" s="723" t="s">
        <v>905</v>
      </c>
      <c r="E1153" s="398">
        <f>309500*1.16</f>
        <v>359020</v>
      </c>
    </row>
    <row r="1154" spans="2:5" x14ac:dyDescent="0.2">
      <c r="B1154" s="721">
        <v>93.9</v>
      </c>
      <c r="C1154" s="31" t="s">
        <v>2649</v>
      </c>
      <c r="D1154" s="723" t="s">
        <v>905</v>
      </c>
      <c r="E1154" s="398">
        <f>228800*1.16</f>
        <v>265408</v>
      </c>
    </row>
    <row r="1155" spans="2:5" x14ac:dyDescent="0.2">
      <c r="B1155" s="721">
        <v>94</v>
      </c>
      <c r="C1155" s="31" t="s">
        <v>2650</v>
      </c>
      <c r="D1155" s="723" t="s">
        <v>905</v>
      </c>
      <c r="E1155" s="398">
        <f>187200*1.16</f>
        <v>217151.99999999997</v>
      </c>
    </row>
    <row r="1156" spans="2:5" ht="25.5" x14ac:dyDescent="0.2">
      <c r="B1156" s="721">
        <v>94.1</v>
      </c>
      <c r="C1156" s="722" t="s">
        <v>2639</v>
      </c>
      <c r="D1156" s="723" t="s">
        <v>905</v>
      </c>
      <c r="E1156" s="398">
        <f>3755000*1.16</f>
        <v>4355800</v>
      </c>
    </row>
    <row r="1157" spans="2:5" x14ac:dyDescent="0.2">
      <c r="B1157" s="721">
        <v>94.2</v>
      </c>
      <c r="C1157" s="722" t="s">
        <v>2651</v>
      </c>
      <c r="D1157" s="723" t="s">
        <v>905</v>
      </c>
      <c r="E1157" s="398">
        <f>20256*1.16</f>
        <v>23496.959999999999</v>
      </c>
    </row>
    <row r="1158" spans="2:5" x14ac:dyDescent="0.2">
      <c r="B1158" s="721">
        <v>94.3</v>
      </c>
      <c r="C1158" s="31" t="s">
        <v>2652</v>
      </c>
      <c r="D1158" s="723" t="s">
        <v>905</v>
      </c>
      <c r="E1158" s="398">
        <f>16800*1.16</f>
        <v>19488</v>
      </c>
    </row>
    <row r="1159" spans="2:5" x14ac:dyDescent="0.2">
      <c r="B1159" s="721">
        <v>94.4</v>
      </c>
      <c r="C1159" s="31" t="s">
        <v>2653</v>
      </c>
      <c r="D1159" s="723" t="s">
        <v>905</v>
      </c>
      <c r="E1159" s="398">
        <f>64000*1.16</f>
        <v>74240</v>
      </c>
    </row>
    <row r="1160" spans="2:5" x14ac:dyDescent="0.2">
      <c r="B1160" s="721">
        <v>94.5</v>
      </c>
      <c r="C1160" s="31" t="s">
        <v>2654</v>
      </c>
      <c r="D1160" s="723" t="s">
        <v>905</v>
      </c>
      <c r="E1160" s="398">
        <f>56000*1.16</f>
        <v>64959.999999999993</v>
      </c>
    </row>
    <row r="1161" spans="2:5" x14ac:dyDescent="0.2">
      <c r="B1161" s="721">
        <v>94.6</v>
      </c>
      <c r="C1161" s="31" t="s">
        <v>2655</v>
      </c>
      <c r="D1161" s="723" t="s">
        <v>905</v>
      </c>
      <c r="E1161" s="398">
        <f>332500*1.16</f>
        <v>385700</v>
      </c>
    </row>
    <row r="1162" spans="2:5" x14ac:dyDescent="0.2">
      <c r="B1162" s="721">
        <v>94.7</v>
      </c>
      <c r="C1162" s="31" t="s">
        <v>2656</v>
      </c>
      <c r="D1162" s="723" t="s">
        <v>905</v>
      </c>
      <c r="E1162" s="398">
        <f>315000*1.16</f>
        <v>365400</v>
      </c>
    </row>
    <row r="1163" spans="2:5" ht="25.5" x14ac:dyDescent="0.2">
      <c r="B1163" s="721">
        <v>94.8</v>
      </c>
      <c r="C1163" s="722" t="s">
        <v>2640</v>
      </c>
      <c r="D1163" s="723" t="s">
        <v>905</v>
      </c>
      <c r="E1163" s="398">
        <f>6140000*1.16</f>
        <v>7122399.9999999991</v>
      </c>
    </row>
    <row r="1164" spans="2:5" x14ac:dyDescent="0.2">
      <c r="B1164" s="721">
        <v>94.9</v>
      </c>
      <c r="C1164" s="722" t="s">
        <v>2657</v>
      </c>
      <c r="D1164" s="723" t="s">
        <v>905</v>
      </c>
      <c r="E1164" s="398">
        <f>28000*1.16</f>
        <v>32479.999999999996</v>
      </c>
    </row>
    <row r="1165" spans="2:5" x14ac:dyDescent="0.2">
      <c r="B1165" s="721">
        <v>95</v>
      </c>
      <c r="C1165" s="31" t="s">
        <v>2658</v>
      </c>
      <c r="D1165" s="723" t="s">
        <v>905</v>
      </c>
      <c r="E1165" s="398">
        <f>17600*1.16</f>
        <v>20416</v>
      </c>
    </row>
    <row r="1166" spans="2:5" x14ac:dyDescent="0.2">
      <c r="B1166" s="721">
        <v>95.1</v>
      </c>
      <c r="C1166" s="31" t="s">
        <v>2659</v>
      </c>
      <c r="D1166" s="723" t="s">
        <v>905</v>
      </c>
      <c r="E1166" s="398">
        <f>80000*1.16</f>
        <v>92800</v>
      </c>
    </row>
    <row r="1167" spans="2:5" x14ac:dyDescent="0.2">
      <c r="B1167" s="721">
        <v>95.2</v>
      </c>
      <c r="C1167" s="31" t="s">
        <v>2660</v>
      </c>
      <c r="D1167" s="723" t="s">
        <v>905</v>
      </c>
      <c r="E1167" s="398">
        <f>92000*1.16</f>
        <v>106719.99999999999</v>
      </c>
    </row>
    <row r="1168" spans="2:5" x14ac:dyDescent="0.2">
      <c r="B1168" s="721">
        <v>95.3</v>
      </c>
      <c r="C1168" s="31" t="s">
        <v>2661</v>
      </c>
      <c r="D1168" s="723" t="s">
        <v>905</v>
      </c>
      <c r="E1168" s="398">
        <f>708800*1.16</f>
        <v>822208</v>
      </c>
    </row>
    <row r="1169" spans="2:5" x14ac:dyDescent="0.2">
      <c r="B1169" s="721">
        <v>95.4</v>
      </c>
      <c r="C1169" s="31" t="s">
        <v>2662</v>
      </c>
      <c r="D1169" s="723" t="s">
        <v>905</v>
      </c>
      <c r="E1169" s="398">
        <f>680000*1.16</f>
        <v>788800</v>
      </c>
    </row>
    <row r="1170" spans="2:5" ht="25.5" x14ac:dyDescent="0.2">
      <c r="B1170" s="721">
        <v>95.5</v>
      </c>
      <c r="C1170" s="722" t="s">
        <v>2663</v>
      </c>
      <c r="D1170" s="723" t="s">
        <v>905</v>
      </c>
      <c r="E1170" s="398">
        <f>2480000*1.16</f>
        <v>2876800</v>
      </c>
    </row>
    <row r="1171" spans="2:5" x14ac:dyDescent="0.2">
      <c r="B1171" s="721">
        <v>95.6</v>
      </c>
      <c r="C1171" s="722" t="s">
        <v>2664</v>
      </c>
      <c r="D1171" s="723" t="s">
        <v>905</v>
      </c>
      <c r="E1171" s="398">
        <f>8500*1.16</f>
        <v>9860</v>
      </c>
    </row>
    <row r="1172" spans="2:5" x14ac:dyDescent="0.2">
      <c r="B1172" s="721">
        <v>95.7</v>
      </c>
      <c r="C1172" s="31" t="s">
        <v>2665</v>
      </c>
      <c r="D1172" s="723" t="s">
        <v>905</v>
      </c>
      <c r="E1172" s="398">
        <f>17200*1.12</f>
        <v>19264.000000000004</v>
      </c>
    </row>
    <row r="1173" spans="2:5" x14ac:dyDescent="0.2">
      <c r="B1173" s="721">
        <v>95.8</v>
      </c>
      <c r="C1173" s="31" t="s">
        <v>2666</v>
      </c>
      <c r="D1173" s="723" t="s">
        <v>905</v>
      </c>
      <c r="E1173" s="398">
        <f>41600*1.16</f>
        <v>48256</v>
      </c>
    </row>
    <row r="1174" spans="2:5" x14ac:dyDescent="0.2">
      <c r="B1174" s="721">
        <v>95.9</v>
      </c>
      <c r="C1174" s="31" t="s">
        <v>2667</v>
      </c>
      <c r="D1174" s="723" t="s">
        <v>905</v>
      </c>
      <c r="E1174" s="398">
        <f>41600*1.16</f>
        <v>48256</v>
      </c>
    </row>
    <row r="1175" spans="2:5" x14ac:dyDescent="0.2">
      <c r="B1175" s="721">
        <v>96</v>
      </c>
      <c r="C1175" s="31" t="s">
        <v>2668</v>
      </c>
      <c r="D1175" s="723" t="s">
        <v>905</v>
      </c>
      <c r="E1175" s="398">
        <f>220000*1.16</f>
        <v>255199.99999999997</v>
      </c>
    </row>
    <row r="1176" spans="2:5" x14ac:dyDescent="0.2">
      <c r="B1176" s="721">
        <v>96.1</v>
      </c>
      <c r="C1176" s="31" t="s">
        <v>2669</v>
      </c>
      <c r="D1176" s="723" t="s">
        <v>905</v>
      </c>
      <c r="E1176" s="398">
        <f>12960*1.16</f>
        <v>15033.599999999999</v>
      </c>
    </row>
    <row r="1177" spans="2:5" ht="25.5" x14ac:dyDescent="0.2">
      <c r="B1177" s="721">
        <v>96.2</v>
      </c>
      <c r="C1177" s="722" t="s">
        <v>2641</v>
      </c>
      <c r="D1177" s="723" t="s">
        <v>905</v>
      </c>
      <c r="E1177" s="398">
        <f>6140000*1.16*1.35</f>
        <v>9615240</v>
      </c>
    </row>
    <row r="1178" spans="2:5" x14ac:dyDescent="0.2">
      <c r="B1178" s="721">
        <v>96.3</v>
      </c>
      <c r="C1178" s="722" t="s">
        <v>2670</v>
      </c>
      <c r="D1178" s="723" t="s">
        <v>905</v>
      </c>
      <c r="E1178" s="398">
        <f>28000*1.16*1.15</f>
        <v>37351.999999999993</v>
      </c>
    </row>
    <row r="1179" spans="2:5" x14ac:dyDescent="0.2">
      <c r="B1179" s="721">
        <v>96.4</v>
      </c>
      <c r="C1179" s="31" t="s">
        <v>2671</v>
      </c>
      <c r="D1179" s="723" t="s">
        <v>905</v>
      </c>
      <c r="E1179" s="398">
        <f>17600*1.16*1.15</f>
        <v>23478.399999999998</v>
      </c>
    </row>
    <row r="1180" spans="2:5" x14ac:dyDescent="0.2">
      <c r="B1180" s="721">
        <v>96.5</v>
      </c>
      <c r="C1180" s="31" t="s">
        <v>2672</v>
      </c>
      <c r="D1180" s="723" t="s">
        <v>905</v>
      </c>
      <c r="E1180" s="398">
        <f>80000*1.16*1.15</f>
        <v>106719.99999999999</v>
      </c>
    </row>
    <row r="1181" spans="2:5" x14ac:dyDescent="0.2">
      <c r="B1181" s="721">
        <v>96.6</v>
      </c>
      <c r="C1181" s="31" t="s">
        <v>2673</v>
      </c>
      <c r="D1181" s="723" t="s">
        <v>905</v>
      </c>
      <c r="E1181" s="398">
        <f>92000*1.16*1.15</f>
        <v>122727.99999999997</v>
      </c>
    </row>
    <row r="1182" spans="2:5" x14ac:dyDescent="0.2">
      <c r="B1182" s="721">
        <v>96.7</v>
      </c>
      <c r="C1182" s="31" t="s">
        <v>2674</v>
      </c>
      <c r="D1182" s="723" t="s">
        <v>905</v>
      </c>
      <c r="E1182" s="398">
        <f>708800*1.16*1.15</f>
        <v>945539.2</v>
      </c>
    </row>
    <row r="1183" spans="2:5" x14ac:dyDescent="0.2">
      <c r="B1183" s="721">
        <v>96.8</v>
      </c>
      <c r="C1183" s="31" t="s">
        <v>2675</v>
      </c>
      <c r="D1183" s="723" t="s">
        <v>905</v>
      </c>
      <c r="E1183" s="398">
        <f>680000*1.16*1.15</f>
        <v>907119.99999999988</v>
      </c>
    </row>
  </sheetData>
  <sheetProtection algorithmName="SHA-512" hashValue="IFEeM2TLhs7o0OwE8qzuDUmvtU5uNR3YHnIpSKyagVVDVnKR+Bf2208Y6R3zUos8unpwd+q/12mhvWWn5Pzseg==" saltValue="OvBqopVNsZ3JaA5VGBWBOw==" spinCount="100000" sheet="1" formatCells="0" formatColumns="0" formatRows="0" insertColumns="0" insertRows="0" insertHyperlinks="0" deleteColumns="0" deleteRows="0" sort="0" autoFilter="0" pivotTables="0"/>
  <mergeCells count="13">
    <mergeCell ref="B1:E1"/>
    <mergeCell ref="B3:E3"/>
    <mergeCell ref="B1133:E1133"/>
    <mergeCell ref="B1083:E1083"/>
    <mergeCell ref="D5:E5"/>
    <mergeCell ref="B1037:E1037"/>
    <mergeCell ref="B1038:E1038"/>
    <mergeCell ref="B1052:E1052"/>
    <mergeCell ref="B1058:E1058"/>
    <mergeCell ref="B1097:E1097"/>
    <mergeCell ref="B1114:E1114"/>
    <mergeCell ref="B1119:E1119"/>
    <mergeCell ref="B1128:E1128"/>
  </mergeCells>
  <phoneticPr fontId="32" type="noConversion"/>
  <printOptions horizontalCentered="1" verticalCentered="1"/>
  <pageMargins left="0.74803149606299213" right="0.74803149606299213" top="0.98425196850393704" bottom="0.98425196850393704" header="0" footer="0"/>
  <pageSetup scale="51" fitToWidth="0" fitToHeight="0" orientation="portrait" r:id="rId1"/>
  <headerFooter alignWithMargins="0"/>
  <rowBreaks count="3" manualBreakCount="3">
    <brk id="100" min="1" max="5" man="1"/>
    <brk id="200" min="1" max="5" man="1"/>
    <brk id="300" min="1" max="5" man="1"/>
  </rowBreaks>
  <ignoredErrors>
    <ignoredError sqref="E8:E21 E74:E75 E33 E77:E86 E606 E400:E402 E403:E405" unlockedFormula="1"/>
    <ignoredError sqref="B395:B401 B496:B525 B406:B495 B526:B660" numberStoredAsText="1"/>
  </ignoredError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Z70"/>
  <sheetViews>
    <sheetView view="pageBreakPreview" topLeftCell="A10" zoomScale="90" zoomScaleNormal="100" zoomScaleSheetLayoutView="90" workbookViewId="0">
      <selection activeCell="C14" sqref="C14"/>
    </sheetView>
  </sheetViews>
  <sheetFormatPr baseColWidth="10" defaultRowHeight="16.5" x14ac:dyDescent="0.3"/>
  <cols>
    <col min="1" max="1" width="13.85546875" style="800" customWidth="1"/>
    <col min="2" max="2" width="14.28515625" style="800" customWidth="1"/>
    <col min="3" max="3" width="13.7109375" style="800" customWidth="1"/>
    <col min="4" max="4" width="36.5703125" style="800" customWidth="1"/>
    <col min="5" max="5" width="13.85546875" style="800" customWidth="1"/>
    <col min="6" max="6" width="13.140625" style="800" customWidth="1"/>
    <col min="7" max="7" width="11.42578125" style="800"/>
    <col min="8" max="8" width="14.85546875" style="800" customWidth="1"/>
    <col min="9" max="9" width="12.140625" style="800" customWidth="1"/>
    <col min="10" max="10" width="11.5703125" style="800" bestFit="1" customWidth="1"/>
    <col min="11" max="11" width="11.42578125" style="800" customWidth="1"/>
    <col min="12" max="16" width="11.42578125" style="800"/>
    <col min="17" max="17" width="12" style="800" bestFit="1" customWidth="1"/>
    <col min="18" max="16384" width="11.42578125" style="800"/>
  </cols>
  <sheetData>
    <row r="1" spans="1:20" ht="18" customHeight="1" thickBot="1" x14ac:dyDescent="0.35">
      <c r="A1" s="1835" t="s">
        <v>2333</v>
      </c>
      <c r="B1" s="1836"/>
      <c r="C1" s="1836"/>
      <c r="D1" s="1836"/>
      <c r="E1" s="1836"/>
      <c r="F1" s="1836"/>
      <c r="G1" s="1836"/>
      <c r="H1" s="1836"/>
      <c r="I1" s="1836"/>
      <c r="J1" s="1836"/>
      <c r="K1" s="1836"/>
      <c r="L1" s="1836"/>
      <c r="M1" s="1837"/>
      <c r="N1" s="799"/>
      <c r="O1" s="799"/>
      <c r="P1" s="799"/>
      <c r="Q1" s="799"/>
      <c r="R1" s="799"/>
      <c r="S1" s="799"/>
      <c r="T1" s="799"/>
    </row>
    <row r="2" spans="1:20" ht="15" customHeight="1" x14ac:dyDescent="0.3">
      <c r="A2" s="1838" t="s">
        <v>2687</v>
      </c>
      <c r="B2" s="1839"/>
      <c r="C2" s="1839"/>
      <c r="D2" s="1839"/>
      <c r="E2" s="1839"/>
      <c r="F2" s="1839"/>
      <c r="G2" s="1839"/>
      <c r="H2" s="1839"/>
      <c r="I2" s="1839"/>
      <c r="J2" s="1839"/>
      <c r="K2" s="1839"/>
      <c r="L2" s="1839"/>
      <c r="M2" s="1840"/>
      <c r="N2" s="801"/>
      <c r="O2" s="801"/>
      <c r="P2" s="801"/>
      <c r="Q2" s="801"/>
      <c r="R2" s="801"/>
      <c r="S2" s="801"/>
      <c r="T2" s="801"/>
    </row>
    <row r="3" spans="1:20" ht="16.5" customHeight="1" thickBot="1" x14ac:dyDescent="0.35">
      <c r="A3" s="1841"/>
      <c r="B3" s="1842"/>
      <c r="C3" s="1842"/>
      <c r="D3" s="1842"/>
      <c r="E3" s="1842"/>
      <c r="F3" s="1842"/>
      <c r="G3" s="1842"/>
      <c r="H3" s="1842"/>
      <c r="I3" s="1842"/>
      <c r="J3" s="1842"/>
      <c r="K3" s="1842"/>
      <c r="L3" s="1842"/>
      <c r="M3" s="1843"/>
      <c r="N3" s="801"/>
      <c r="O3" s="801"/>
      <c r="P3" s="801"/>
      <c r="Q3" s="801"/>
      <c r="R3" s="801"/>
      <c r="S3" s="801"/>
      <c r="T3" s="801"/>
    </row>
    <row r="4" spans="1:20" ht="18" customHeight="1" thickBot="1" x14ac:dyDescent="0.35">
      <c r="A4" s="1844" t="s">
        <v>2334</v>
      </c>
      <c r="B4" s="1845"/>
      <c r="C4" s="1845"/>
      <c r="D4" s="1845"/>
      <c r="E4" s="1845"/>
      <c r="F4" s="1845"/>
      <c r="G4" s="1846"/>
      <c r="H4" s="1844" t="s">
        <v>2335</v>
      </c>
      <c r="I4" s="1845"/>
      <c r="J4" s="1845"/>
      <c r="K4" s="1845"/>
      <c r="L4" s="1845"/>
      <c r="M4" s="1846"/>
    </row>
    <row r="5" spans="1:20" ht="33" customHeight="1" thickBot="1" x14ac:dyDescent="0.35">
      <c r="A5" s="925" t="s">
        <v>2336</v>
      </c>
      <c r="B5" s="926" t="s">
        <v>2337</v>
      </c>
      <c r="C5" s="926" t="s">
        <v>2338</v>
      </c>
      <c r="D5" s="802"/>
      <c r="E5" s="802"/>
      <c r="F5" s="803"/>
      <c r="G5" s="802"/>
      <c r="H5" s="1847" t="s">
        <v>962</v>
      </c>
      <c r="I5" s="1848"/>
      <c r="J5" s="1848"/>
      <c r="K5" s="1849"/>
      <c r="L5" s="927" t="s">
        <v>931</v>
      </c>
      <c r="M5" s="927" t="s">
        <v>2339</v>
      </c>
    </row>
    <row r="6" spans="1:20" ht="15.75" customHeight="1" thickBot="1" x14ac:dyDescent="0.35">
      <c r="A6" s="1829" t="s">
        <v>2340</v>
      </c>
      <c r="B6" s="804">
        <v>10</v>
      </c>
      <c r="C6" s="805" t="e">
        <f>+#REF!</f>
        <v>#REF!</v>
      </c>
      <c r="D6" s="802"/>
      <c r="E6" s="802"/>
      <c r="F6" s="803"/>
      <c r="G6" s="802"/>
      <c r="H6" s="1830" t="s">
        <v>874</v>
      </c>
      <c r="I6" s="1831"/>
      <c r="J6" s="1831"/>
      <c r="K6" s="1831"/>
      <c r="L6" s="1831"/>
      <c r="M6" s="1832"/>
    </row>
    <row r="7" spans="1:20" ht="15" customHeight="1" x14ac:dyDescent="0.3">
      <c r="A7" s="1829"/>
      <c r="B7" s="804">
        <v>12</v>
      </c>
      <c r="C7" s="805" t="e">
        <f>+#REF!</f>
        <v>#REF!</v>
      </c>
      <c r="D7" s="802"/>
      <c r="E7" s="802"/>
      <c r="F7" s="802"/>
      <c r="G7" s="802"/>
      <c r="H7" s="1833" t="s">
        <v>2341</v>
      </c>
      <c r="I7" s="1834"/>
      <c r="J7" s="1834"/>
      <c r="K7" s="1834"/>
      <c r="L7" s="806" t="s">
        <v>2155</v>
      </c>
      <c r="M7" s="898" t="e">
        <f>+#REF!+#REF!</f>
        <v>#REF!</v>
      </c>
      <c r="N7" s="807"/>
    </row>
    <row r="8" spans="1:20" ht="15" customHeight="1" x14ac:dyDescent="0.3">
      <c r="A8" s="1829"/>
      <c r="B8" s="804">
        <v>14</v>
      </c>
      <c r="C8" s="805" t="e">
        <f>+#REF!</f>
        <v>#REF!</v>
      </c>
      <c r="D8" s="802"/>
      <c r="E8" s="802"/>
      <c r="F8" s="802"/>
      <c r="G8" s="802"/>
      <c r="H8" s="1833" t="s">
        <v>2342</v>
      </c>
      <c r="I8" s="1834"/>
      <c r="J8" s="1834"/>
      <c r="K8" s="1834"/>
      <c r="L8" s="808" t="s">
        <v>2155</v>
      </c>
      <c r="M8" s="899" t="e">
        <f>+#REF!+#REF!</f>
        <v>#REF!</v>
      </c>
      <c r="N8" s="807"/>
    </row>
    <row r="9" spans="1:20" ht="15.75" customHeight="1" x14ac:dyDescent="0.3">
      <c r="A9" s="1829"/>
      <c r="B9" s="804">
        <v>18</v>
      </c>
      <c r="C9" s="805" t="e">
        <f>+#REF!</f>
        <v>#REF!</v>
      </c>
      <c r="D9" s="809"/>
      <c r="E9" s="810"/>
      <c r="F9" s="810"/>
      <c r="G9" s="810"/>
      <c r="H9" s="1823" t="s">
        <v>2343</v>
      </c>
      <c r="I9" s="1824"/>
      <c r="J9" s="1824"/>
      <c r="K9" s="1824"/>
      <c r="L9" s="808" t="s">
        <v>2155</v>
      </c>
      <c r="M9" s="899" t="e">
        <f>M7+M8</f>
        <v>#REF!</v>
      </c>
    </row>
    <row r="10" spans="1:20" ht="15.75" customHeight="1" x14ac:dyDescent="0.3">
      <c r="A10" s="1829"/>
      <c r="B10" s="804">
        <v>20</v>
      </c>
      <c r="C10" s="805" t="e">
        <f>+#REF!</f>
        <v>#REF!</v>
      </c>
      <c r="D10" s="809"/>
      <c r="E10" s="810"/>
      <c r="F10" s="810"/>
      <c r="G10" s="810"/>
      <c r="H10" s="1825" t="s">
        <v>2106</v>
      </c>
      <c r="I10" s="1826"/>
      <c r="J10" s="1826"/>
      <c r="K10" s="1826"/>
      <c r="L10" s="1826"/>
      <c r="M10" s="1827"/>
    </row>
    <row r="11" spans="1:20" ht="15.75" customHeight="1" x14ac:dyDescent="0.3">
      <c r="A11" s="1829"/>
      <c r="B11" s="804">
        <v>24</v>
      </c>
      <c r="C11" s="805" t="e">
        <f>+#REF!</f>
        <v>#REF!</v>
      </c>
      <c r="D11" s="811"/>
      <c r="E11" s="810"/>
      <c r="F11" s="810"/>
      <c r="G11" s="810"/>
      <c r="H11" s="1801" t="s">
        <v>2344</v>
      </c>
      <c r="I11" s="1802"/>
      <c r="J11" s="1802"/>
      <c r="K11" s="1802"/>
      <c r="L11" s="1803" t="s">
        <v>2155</v>
      </c>
      <c r="M11" s="1828" t="e">
        <f>+#REF!+#REF!</f>
        <v>#REF!</v>
      </c>
    </row>
    <row r="12" spans="1:20" ht="15.75" customHeight="1" x14ac:dyDescent="0.3">
      <c r="A12" s="1829"/>
      <c r="B12" s="804">
        <v>27</v>
      </c>
      <c r="C12" s="805" t="e">
        <f>+#REF!</f>
        <v>#REF!</v>
      </c>
      <c r="D12" s="809"/>
      <c r="E12" s="810"/>
      <c r="F12" s="810"/>
      <c r="G12" s="810"/>
      <c r="H12" s="1801"/>
      <c r="I12" s="1802"/>
      <c r="J12" s="1802"/>
      <c r="K12" s="1802"/>
      <c r="L12" s="1803"/>
      <c r="M12" s="1828"/>
    </row>
    <row r="13" spans="1:20" ht="15.75" customHeight="1" x14ac:dyDescent="0.3">
      <c r="A13" s="1829"/>
      <c r="B13" s="804">
        <v>30</v>
      </c>
      <c r="C13" s="805" t="e">
        <f>+#REF!</f>
        <v>#REF!</v>
      </c>
      <c r="D13" s="809"/>
      <c r="E13" s="810"/>
      <c r="F13" s="810"/>
      <c r="G13" s="810"/>
      <c r="H13" s="1811" t="s">
        <v>2345</v>
      </c>
      <c r="I13" s="1812"/>
      <c r="J13" s="1812"/>
      <c r="K13" s="1812"/>
      <c r="L13" s="1809" t="s">
        <v>2155</v>
      </c>
      <c r="M13" s="1810" t="e">
        <f>+C23*1*0.18</f>
        <v>#REF!</v>
      </c>
      <c r="O13" s="812"/>
    </row>
    <row r="14" spans="1:20" ht="15.75" customHeight="1" x14ac:dyDescent="0.3">
      <c r="A14" s="1829"/>
      <c r="B14" s="813">
        <v>36</v>
      </c>
      <c r="C14" s="805" t="e">
        <f>+#REF!</f>
        <v>#REF!</v>
      </c>
      <c r="D14" s="809"/>
      <c r="E14" s="810"/>
      <c r="F14" s="810"/>
      <c r="G14" s="810"/>
      <c r="H14" s="1811"/>
      <c r="I14" s="1812"/>
      <c r="J14" s="1812"/>
      <c r="K14" s="1812"/>
      <c r="L14" s="1809"/>
      <c r="M14" s="1810"/>
    </row>
    <row r="15" spans="1:20" ht="15.75" customHeight="1" x14ac:dyDescent="0.3">
      <c r="A15" s="1821" t="s">
        <v>2328</v>
      </c>
      <c r="B15" s="1822"/>
      <c r="C15" s="814" t="e">
        <f>SUM(C6:C14)</f>
        <v>#REF!</v>
      </c>
      <c r="D15" s="809"/>
      <c r="E15" s="810"/>
      <c r="F15" s="810"/>
      <c r="G15" s="810"/>
      <c r="H15" s="1811"/>
      <c r="I15" s="1812"/>
      <c r="J15" s="1812"/>
      <c r="K15" s="1812"/>
      <c r="L15" s="1809"/>
      <c r="M15" s="1810"/>
      <c r="R15" s="813"/>
      <c r="S15" s="805"/>
    </row>
    <row r="16" spans="1:20" ht="15.75" customHeight="1" x14ac:dyDescent="0.3">
      <c r="A16" s="900"/>
      <c r="B16" s="802"/>
      <c r="C16" s="802"/>
      <c r="D16" s="809"/>
      <c r="E16" s="810"/>
      <c r="F16" s="810"/>
      <c r="G16" s="810"/>
      <c r="H16" s="1811"/>
      <c r="I16" s="1812"/>
      <c r="J16" s="1812"/>
      <c r="K16" s="1812"/>
      <c r="L16" s="1809"/>
      <c r="M16" s="1810"/>
      <c r="R16" s="813"/>
      <c r="S16" s="805"/>
    </row>
    <row r="17" spans="1:20" ht="15.75" customHeight="1" x14ac:dyDescent="0.3">
      <c r="A17" s="901"/>
      <c r="B17" s="802"/>
      <c r="C17" s="802"/>
      <c r="D17" s="809"/>
      <c r="E17" s="810"/>
      <c r="F17" s="810"/>
      <c r="G17" s="810"/>
      <c r="H17" s="1811"/>
      <c r="I17" s="1812"/>
      <c r="J17" s="1812"/>
      <c r="K17" s="1812"/>
      <c r="L17" s="1809"/>
      <c r="M17" s="1810"/>
      <c r="R17" s="815"/>
    </row>
    <row r="18" spans="1:20" ht="15.75" customHeight="1" x14ac:dyDescent="0.3">
      <c r="A18" s="900"/>
      <c r="B18" s="802"/>
      <c r="C18" s="802"/>
      <c r="D18" s="809"/>
      <c r="E18" s="810"/>
      <c r="F18" s="810"/>
      <c r="G18" s="810"/>
      <c r="H18" s="1811"/>
      <c r="I18" s="1812"/>
      <c r="J18" s="1812"/>
      <c r="K18" s="1812"/>
      <c r="L18" s="1809"/>
      <c r="M18" s="1810"/>
      <c r="R18" s="816"/>
    </row>
    <row r="19" spans="1:20" ht="15.75" customHeight="1" thickBot="1" x14ac:dyDescent="0.35">
      <c r="A19" s="900"/>
      <c r="B19" s="802"/>
      <c r="C19" s="802"/>
      <c r="D19" s="802"/>
      <c r="E19" s="802"/>
      <c r="F19" s="802"/>
      <c r="G19" s="817"/>
      <c r="H19" s="1811" t="s">
        <v>2346</v>
      </c>
      <c r="I19" s="1812"/>
      <c r="J19" s="1812"/>
      <c r="K19" s="1812"/>
      <c r="L19" s="818" t="s">
        <v>2155</v>
      </c>
      <c r="M19" s="902" t="e">
        <f>+C29</f>
        <v>#REF!</v>
      </c>
    </row>
    <row r="20" spans="1:20" x14ac:dyDescent="0.3">
      <c r="A20" s="1819" t="s">
        <v>2628</v>
      </c>
      <c r="B20" s="1820"/>
      <c r="C20" s="1820"/>
      <c r="D20" s="932">
        <f>+C27</f>
        <v>20</v>
      </c>
      <c r="E20" s="933" t="s">
        <v>2329</v>
      </c>
      <c r="F20" s="934"/>
      <c r="G20" s="817"/>
      <c r="H20" s="1813" t="s">
        <v>2330</v>
      </c>
      <c r="I20" s="1814"/>
      <c r="J20" s="1814"/>
      <c r="K20" s="1814"/>
      <c r="L20" s="1814"/>
      <c r="M20" s="1815"/>
    </row>
    <row r="21" spans="1:20" x14ac:dyDescent="0.3">
      <c r="A21" s="1816" t="s">
        <v>2347</v>
      </c>
      <c r="B21" s="1817"/>
      <c r="C21" s="1817"/>
      <c r="D21" s="1817"/>
      <c r="E21" s="1817"/>
      <c r="F21" s="1818"/>
      <c r="G21" s="817"/>
      <c r="H21" s="1811" t="s">
        <v>2348</v>
      </c>
      <c r="I21" s="1812"/>
      <c r="J21" s="1812"/>
      <c r="K21" s="1812"/>
      <c r="L21" s="818" t="s">
        <v>2326</v>
      </c>
      <c r="M21" s="903" t="e">
        <f>+(M11+M13)/0.18</f>
        <v>#REF!</v>
      </c>
    </row>
    <row r="22" spans="1:20" ht="15" customHeight="1" x14ac:dyDescent="0.3">
      <c r="A22" s="1853" t="s">
        <v>2349</v>
      </c>
      <c r="B22" s="1854"/>
      <c r="C22" s="1854" t="s">
        <v>2350</v>
      </c>
      <c r="D22" s="1854"/>
      <c r="E22" s="1854" t="s">
        <v>2351</v>
      </c>
      <c r="F22" s="1855"/>
      <c r="G22" s="817"/>
      <c r="H22" s="1856" t="s">
        <v>2352</v>
      </c>
      <c r="I22" s="1857"/>
      <c r="J22" s="1857"/>
      <c r="K22" s="1857"/>
      <c r="L22" s="818" t="s">
        <v>2155</v>
      </c>
      <c r="M22" s="904" t="e">
        <f>+M11+M13</f>
        <v>#REF!</v>
      </c>
      <c r="O22" s="812"/>
      <c r="R22" s="812"/>
    </row>
    <row r="23" spans="1:20" x14ac:dyDescent="0.3">
      <c r="A23" s="1860">
        <v>3.5</v>
      </c>
      <c r="B23" s="1861"/>
      <c r="C23" s="1862" t="e">
        <f>+#REF!</f>
        <v>#REF!</v>
      </c>
      <c r="D23" s="1862"/>
      <c r="E23" s="1863" t="e">
        <f>+A23*C23</f>
        <v>#REF!</v>
      </c>
      <c r="F23" s="1864"/>
      <c r="G23" s="817"/>
      <c r="H23" s="1856" t="s">
        <v>2353</v>
      </c>
      <c r="I23" s="1857"/>
      <c r="J23" s="1857"/>
      <c r="K23" s="1857"/>
      <c r="L23" s="818" t="s">
        <v>2155</v>
      </c>
      <c r="M23" s="904" t="e">
        <f>+#REF!+#REF!</f>
        <v>#REF!</v>
      </c>
      <c r="O23" s="812"/>
    </row>
    <row r="24" spans="1:20" ht="17.25" thickBot="1" x14ac:dyDescent="0.35">
      <c r="A24" s="1865" t="s">
        <v>2328</v>
      </c>
      <c r="B24" s="1866"/>
      <c r="C24" s="1867" t="e">
        <f>SUM(C23:C23)</f>
        <v>#REF!</v>
      </c>
      <c r="D24" s="1867"/>
      <c r="E24" s="1867" t="e">
        <f>SUM(E23:E23)</f>
        <v>#REF!</v>
      </c>
      <c r="F24" s="1868"/>
      <c r="G24" s="817"/>
      <c r="H24" s="1791" t="s">
        <v>2354</v>
      </c>
      <c r="I24" s="1792"/>
      <c r="J24" s="1792"/>
      <c r="K24" s="1792"/>
      <c r="L24" s="1792"/>
      <c r="M24" s="1793"/>
      <c r="O24" s="822"/>
    </row>
    <row r="25" spans="1:20" x14ac:dyDescent="0.3">
      <c r="A25" s="900"/>
      <c r="B25" s="802"/>
      <c r="C25" s="802"/>
      <c r="D25" s="802"/>
      <c r="E25" s="802"/>
      <c r="F25" s="802"/>
      <c r="G25" s="817"/>
      <c r="H25" s="1801" t="s">
        <v>2355</v>
      </c>
      <c r="I25" s="1802"/>
      <c r="J25" s="1802"/>
      <c r="K25" s="1802"/>
      <c r="L25" s="1803" t="s">
        <v>2155</v>
      </c>
      <c r="M25" s="1828" t="e">
        <f>+M9-G44-M23-E44</f>
        <v>#REF!</v>
      </c>
    </row>
    <row r="26" spans="1:20" ht="16.5" customHeight="1" x14ac:dyDescent="0.3">
      <c r="A26" s="1858" t="s">
        <v>2356</v>
      </c>
      <c r="B26" s="1859"/>
      <c r="C26" s="1859"/>
      <c r="D26" s="844">
        <v>10</v>
      </c>
      <c r="E26" s="844" t="s">
        <v>2329</v>
      </c>
      <c r="F26" s="802"/>
      <c r="G26" s="823"/>
      <c r="H26" s="1801"/>
      <c r="I26" s="1802"/>
      <c r="J26" s="1802"/>
      <c r="K26" s="1802"/>
      <c r="L26" s="1803"/>
      <c r="M26" s="1828"/>
    </row>
    <row r="27" spans="1:20" ht="16.5" customHeight="1" x14ac:dyDescent="0.3">
      <c r="A27" s="905" t="s">
        <v>2357</v>
      </c>
      <c r="B27" s="845"/>
      <c r="C27" s="820">
        <v>20</v>
      </c>
      <c r="D27" s="802"/>
      <c r="E27" s="848"/>
      <c r="F27" s="802"/>
      <c r="G27" s="823"/>
      <c r="H27" s="1804" t="s">
        <v>2359</v>
      </c>
      <c r="I27" s="1805"/>
      <c r="J27" s="1805"/>
      <c r="K27" s="1805"/>
      <c r="L27" s="1805"/>
      <c r="M27" s="1806"/>
      <c r="S27" s="824"/>
    </row>
    <row r="28" spans="1:20" ht="16.5" customHeight="1" x14ac:dyDescent="0.3">
      <c r="A28" s="905" t="s">
        <v>2360</v>
      </c>
      <c r="B28" s="845"/>
      <c r="C28" s="846" t="e">
        <f>+#REF!</f>
        <v>#REF!</v>
      </c>
      <c r="D28" s="851" t="s">
        <v>2358</v>
      </c>
      <c r="E28" s="852">
        <v>24</v>
      </c>
      <c r="F28" s="849"/>
      <c r="G28" s="823"/>
      <c r="H28" s="1807" t="s">
        <v>2361</v>
      </c>
      <c r="I28" s="1808"/>
      <c r="J28" s="1808"/>
      <c r="K28" s="1808"/>
      <c r="L28" s="1809" t="s">
        <v>2155</v>
      </c>
      <c r="M28" s="1810" t="e">
        <f>(M9-M25)+M13+M19+M22+M23</f>
        <v>#REF!</v>
      </c>
    </row>
    <row r="29" spans="1:20" ht="16.5" customHeight="1" x14ac:dyDescent="0.3">
      <c r="A29" s="1787" t="s">
        <v>2315</v>
      </c>
      <c r="B29" s="1788"/>
      <c r="C29" s="847" t="e">
        <f>+E30</f>
        <v>#REF!</v>
      </c>
      <c r="D29" s="853" t="s">
        <v>2362</v>
      </c>
      <c r="E29" s="850">
        <v>0</v>
      </c>
      <c r="F29" s="802"/>
      <c r="G29" s="823"/>
      <c r="H29" s="1807"/>
      <c r="I29" s="1808"/>
      <c r="J29" s="1808"/>
      <c r="K29" s="1808"/>
      <c r="L29" s="1809"/>
      <c r="M29" s="1810"/>
    </row>
    <row r="30" spans="1:20" ht="15.75" customHeight="1" x14ac:dyDescent="0.3">
      <c r="A30" s="1789" t="s">
        <v>2363</v>
      </c>
      <c r="B30" s="1790"/>
      <c r="C30" s="843" t="e">
        <f>+C28</f>
        <v>#REF!</v>
      </c>
      <c r="D30" s="855" t="s">
        <v>2364</v>
      </c>
      <c r="E30" s="843" t="e">
        <f>(C28*(2*PI()*0.6)*0.15)+(((1.6^2)*PI()*0.15)*C27/4)</f>
        <v>#REF!</v>
      </c>
      <c r="F30" s="806" t="s">
        <v>2155</v>
      </c>
      <c r="G30" s="802"/>
      <c r="H30" s="1807"/>
      <c r="I30" s="1808"/>
      <c r="J30" s="1808"/>
      <c r="K30" s="1808"/>
      <c r="L30" s="1809"/>
      <c r="M30" s="1810"/>
      <c r="N30" s="812"/>
      <c r="O30" s="812"/>
      <c r="S30" s="826"/>
      <c r="T30" s="826"/>
    </row>
    <row r="31" spans="1:20" ht="27.75" customHeight="1" x14ac:dyDescent="0.3">
      <c r="A31" s="906" t="s">
        <v>2320</v>
      </c>
      <c r="B31" s="856" t="s">
        <v>2320</v>
      </c>
      <c r="C31" s="856" t="s">
        <v>2321</v>
      </c>
      <c r="D31" s="856" t="s">
        <v>2322</v>
      </c>
      <c r="E31" s="856" t="s">
        <v>2365</v>
      </c>
      <c r="F31" s="856" t="s">
        <v>2366</v>
      </c>
      <c r="G31" s="928" t="s">
        <v>2367</v>
      </c>
      <c r="H31" s="1807"/>
      <c r="I31" s="1808"/>
      <c r="J31" s="1808"/>
      <c r="K31" s="1808"/>
      <c r="L31" s="1809"/>
      <c r="M31" s="1810"/>
      <c r="S31" s="826"/>
      <c r="T31" s="826"/>
    </row>
    <row r="32" spans="1:20" ht="15" customHeight="1" x14ac:dyDescent="0.3">
      <c r="A32" s="907" t="s">
        <v>2324</v>
      </c>
      <c r="B32" s="857" t="s">
        <v>2325</v>
      </c>
      <c r="C32" s="857" t="s">
        <v>2326</v>
      </c>
      <c r="D32" s="857" t="s">
        <v>2327</v>
      </c>
      <c r="E32" s="857" t="s">
        <v>2155</v>
      </c>
      <c r="F32" s="857" t="s">
        <v>2327</v>
      </c>
      <c r="G32" s="929" t="s">
        <v>2155</v>
      </c>
      <c r="H32" s="1791" t="s">
        <v>2368</v>
      </c>
      <c r="I32" s="1792"/>
      <c r="J32" s="1792"/>
      <c r="K32" s="1792"/>
      <c r="L32" s="1792"/>
      <c r="M32" s="1793"/>
      <c r="S32" s="826"/>
      <c r="T32" s="826"/>
    </row>
    <row r="33" spans="1:26" ht="21" customHeight="1" x14ac:dyDescent="0.3">
      <c r="A33" s="908" t="e">
        <f>+#REF!</f>
        <v>#REF!</v>
      </c>
      <c r="B33" s="858" t="e">
        <f>+#REF!</f>
        <v>#REF!</v>
      </c>
      <c r="C33" s="859" t="e">
        <f>(((B33/1000)^2)/4)*PI()</f>
        <v>#REF!</v>
      </c>
      <c r="D33" s="860" t="e">
        <f>+C6</f>
        <v>#REF!</v>
      </c>
      <c r="E33" s="861" t="e">
        <f>C33*D33</f>
        <v>#REF!</v>
      </c>
      <c r="F33" s="859" t="e">
        <f>+#REF!</f>
        <v>#REF!</v>
      </c>
      <c r="G33" s="930" t="e">
        <f>+F33*0.1*D33</f>
        <v>#REF!</v>
      </c>
      <c r="H33" s="1794" t="s">
        <v>2369</v>
      </c>
      <c r="I33" s="1795"/>
      <c r="J33" s="1795"/>
      <c r="K33" s="1795"/>
      <c r="L33" s="827" t="s">
        <v>2370</v>
      </c>
      <c r="M33" s="909" t="e">
        <f>+D44*2</f>
        <v>#REF!</v>
      </c>
      <c r="N33" s="812"/>
      <c r="S33" s="828"/>
      <c r="T33" s="826"/>
    </row>
    <row r="34" spans="1:26" x14ac:dyDescent="0.3">
      <c r="A34" s="910" t="e">
        <f>+#REF!</f>
        <v>#REF!</v>
      </c>
      <c r="B34" s="862" t="e">
        <f>+#REF!</f>
        <v>#REF!</v>
      </c>
      <c r="C34" s="863" t="e">
        <f t="shared" ref="C34:C43" si="0">(((B34/1000)^2)/4)*PI()</f>
        <v>#REF!</v>
      </c>
      <c r="D34" s="864" t="e">
        <f>+C7</f>
        <v>#REF!</v>
      </c>
      <c r="E34" s="865" t="e">
        <f t="shared" ref="E34:E43" si="1">C34*D34</f>
        <v>#REF!</v>
      </c>
      <c r="F34" s="859" t="e">
        <f>+#REF!</f>
        <v>#REF!</v>
      </c>
      <c r="G34" s="931" t="e">
        <f t="shared" ref="G34:G43" si="2">+F34*0.1*D34</f>
        <v>#REF!</v>
      </c>
      <c r="H34" s="1794" t="s">
        <v>2371</v>
      </c>
      <c r="I34" s="1795"/>
      <c r="J34" s="1795"/>
      <c r="K34" s="1795"/>
      <c r="L34" s="808" t="s">
        <v>2370</v>
      </c>
      <c r="M34" s="899" t="e">
        <f>(+#REF!*2)</f>
        <v>#REF!</v>
      </c>
      <c r="S34" s="828"/>
      <c r="T34" s="826"/>
    </row>
    <row r="35" spans="1:26" ht="15" customHeight="1" x14ac:dyDescent="0.3">
      <c r="A35" s="910" t="e">
        <f>+#REF!</f>
        <v>#REF!</v>
      </c>
      <c r="B35" s="862" t="e">
        <f>+#REF!</f>
        <v>#REF!</v>
      </c>
      <c r="C35" s="863" t="e">
        <f t="shared" si="0"/>
        <v>#REF!</v>
      </c>
      <c r="D35" s="864" t="e">
        <f>+C8</f>
        <v>#REF!</v>
      </c>
      <c r="E35" s="865" t="e">
        <f t="shared" si="1"/>
        <v>#REF!</v>
      </c>
      <c r="F35" s="859" t="e">
        <f>+#REF!</f>
        <v>#REF!</v>
      </c>
      <c r="G35" s="931" t="e">
        <f t="shared" si="2"/>
        <v>#REF!</v>
      </c>
      <c r="H35" s="1791" t="s">
        <v>2372</v>
      </c>
      <c r="I35" s="1792"/>
      <c r="J35" s="1792"/>
      <c r="K35" s="1792"/>
      <c r="L35" s="1792"/>
      <c r="M35" s="1793"/>
      <c r="S35" s="821"/>
      <c r="T35" s="826"/>
    </row>
    <row r="36" spans="1:26" x14ac:dyDescent="0.3">
      <c r="A36" s="910" t="e">
        <f>+#REF!</f>
        <v>#REF!</v>
      </c>
      <c r="B36" s="862" t="e">
        <f>+#REF!</f>
        <v>#REF!</v>
      </c>
      <c r="C36" s="863" t="e">
        <f t="shared" si="0"/>
        <v>#REF!</v>
      </c>
      <c r="D36" s="864">
        <v>0</v>
      </c>
      <c r="E36" s="865" t="e">
        <f t="shared" si="1"/>
        <v>#REF!</v>
      </c>
      <c r="F36" s="859" t="e">
        <f>+#REF!</f>
        <v>#REF!</v>
      </c>
      <c r="G36" s="931" t="e">
        <f t="shared" si="2"/>
        <v>#REF!</v>
      </c>
      <c r="H36" s="1796" t="s">
        <v>2373</v>
      </c>
      <c r="I36" s="1797"/>
      <c r="J36" s="1797"/>
      <c r="K36" s="1797"/>
      <c r="L36" s="806" t="s">
        <v>2155</v>
      </c>
      <c r="M36" s="911" t="e">
        <f>+G44</f>
        <v>#REF!</v>
      </c>
      <c r="S36" s="821"/>
      <c r="T36" s="826"/>
    </row>
    <row r="37" spans="1:26" ht="17.25" thickBot="1" x14ac:dyDescent="0.35">
      <c r="A37" s="908" t="e">
        <f>+#REF!</f>
        <v>#REF!</v>
      </c>
      <c r="B37" s="858" t="e">
        <f>+#REF!</f>
        <v>#REF!</v>
      </c>
      <c r="C37" s="859" t="e">
        <f t="shared" si="0"/>
        <v>#REF!</v>
      </c>
      <c r="D37" s="860" t="e">
        <f t="shared" ref="D37:D42" si="3">+C9</f>
        <v>#REF!</v>
      </c>
      <c r="E37" s="861" t="e">
        <f t="shared" si="1"/>
        <v>#REF!</v>
      </c>
      <c r="F37" s="859" t="e">
        <f>+#REF!</f>
        <v>#REF!</v>
      </c>
      <c r="G37" s="930" t="e">
        <f t="shared" si="2"/>
        <v>#REF!</v>
      </c>
      <c r="H37" s="1798"/>
      <c r="I37" s="1799"/>
      <c r="J37" s="1799"/>
      <c r="K37" s="1799"/>
      <c r="L37" s="1799"/>
      <c r="M37" s="1800"/>
      <c r="S37" s="821"/>
      <c r="T37" s="826"/>
    </row>
    <row r="38" spans="1:26" x14ac:dyDescent="0.3">
      <c r="A38" s="910" t="e">
        <f>+#REF!</f>
        <v>#REF!</v>
      </c>
      <c r="B38" s="862" t="e">
        <f>+#REF!</f>
        <v>#REF!</v>
      </c>
      <c r="C38" s="863" t="e">
        <f t="shared" si="0"/>
        <v>#REF!</v>
      </c>
      <c r="D38" s="864" t="e">
        <f t="shared" si="3"/>
        <v>#REF!</v>
      </c>
      <c r="E38" s="865" t="e">
        <f t="shared" si="1"/>
        <v>#REF!</v>
      </c>
      <c r="F38" s="859" t="e">
        <f>+#REF!</f>
        <v>#REF!</v>
      </c>
      <c r="G38" s="865" t="e">
        <f t="shared" si="2"/>
        <v>#REF!</v>
      </c>
      <c r="H38" s="1781"/>
      <c r="I38" s="1781"/>
      <c r="J38" s="1781"/>
      <c r="K38" s="1781"/>
      <c r="L38" s="806"/>
      <c r="M38" s="911"/>
    </row>
    <row r="39" spans="1:26" ht="15" customHeight="1" x14ac:dyDescent="0.3">
      <c r="A39" s="908" t="e">
        <f>+#REF!</f>
        <v>#REF!</v>
      </c>
      <c r="B39" s="858" t="e">
        <f>+#REF!</f>
        <v>#REF!</v>
      </c>
      <c r="C39" s="859" t="e">
        <f t="shared" si="0"/>
        <v>#REF!</v>
      </c>
      <c r="D39" s="860" t="e">
        <f t="shared" si="3"/>
        <v>#REF!</v>
      </c>
      <c r="E39" s="861" t="e">
        <f t="shared" si="1"/>
        <v>#REF!</v>
      </c>
      <c r="F39" s="859" t="e">
        <f>+#REF!</f>
        <v>#REF!</v>
      </c>
      <c r="G39" s="861" t="e">
        <f t="shared" si="2"/>
        <v>#REF!</v>
      </c>
      <c r="H39" s="802"/>
      <c r="I39" s="802"/>
      <c r="J39" s="802"/>
      <c r="K39" s="802"/>
      <c r="L39" s="802"/>
      <c r="M39" s="912"/>
    </row>
    <row r="40" spans="1:26" x14ac:dyDescent="0.3">
      <c r="A40" s="908" t="e">
        <f>+#REF!</f>
        <v>#REF!</v>
      </c>
      <c r="B40" s="858" t="e">
        <f>+#REF!</f>
        <v>#REF!</v>
      </c>
      <c r="C40" s="859" t="e">
        <f t="shared" si="0"/>
        <v>#REF!</v>
      </c>
      <c r="D40" s="860" t="e">
        <f t="shared" si="3"/>
        <v>#REF!</v>
      </c>
      <c r="E40" s="861" t="e">
        <f t="shared" si="1"/>
        <v>#REF!</v>
      </c>
      <c r="F40" s="859" t="e">
        <f>+#REF!</f>
        <v>#REF!</v>
      </c>
      <c r="G40" s="861" t="e">
        <f t="shared" si="2"/>
        <v>#REF!</v>
      </c>
      <c r="H40" s="1783" t="s">
        <v>2316</v>
      </c>
      <c r="I40" s="1783"/>
      <c r="J40" s="1783"/>
      <c r="K40" s="1783"/>
      <c r="L40" s="1783"/>
      <c r="M40" s="1784"/>
      <c r="U40" s="826"/>
      <c r="V40" s="826"/>
      <c r="W40" s="826"/>
      <c r="X40" s="826"/>
      <c r="Y40" s="826"/>
      <c r="Z40" s="826"/>
    </row>
    <row r="41" spans="1:26" x14ac:dyDescent="0.3">
      <c r="A41" s="910" t="e">
        <f>+#REF!</f>
        <v>#REF!</v>
      </c>
      <c r="B41" s="862" t="e">
        <f>+#REF!</f>
        <v>#REF!</v>
      </c>
      <c r="C41" s="863" t="e">
        <f t="shared" si="0"/>
        <v>#REF!</v>
      </c>
      <c r="D41" s="864" t="e">
        <f t="shared" si="3"/>
        <v>#REF!</v>
      </c>
      <c r="E41" s="865" t="e">
        <f t="shared" si="1"/>
        <v>#REF!</v>
      </c>
      <c r="F41" s="859" t="e">
        <f>+#REF!</f>
        <v>#REF!</v>
      </c>
      <c r="G41" s="865" t="e">
        <f t="shared" si="2"/>
        <v>#REF!</v>
      </c>
      <c r="H41" s="1780" t="e">
        <f>+#REF!</f>
        <v>#REF!</v>
      </c>
      <c r="I41" s="1781"/>
      <c r="J41" s="1781"/>
      <c r="K41" s="1781"/>
      <c r="L41" s="1781"/>
      <c r="M41" s="912" t="s">
        <v>2317</v>
      </c>
      <c r="U41" s="826"/>
      <c r="V41" s="1777"/>
      <c r="W41" s="1777"/>
      <c r="X41" s="1777"/>
      <c r="Y41" s="1777"/>
      <c r="Z41" s="1777"/>
    </row>
    <row r="42" spans="1:26" x14ac:dyDescent="0.3">
      <c r="A42" s="908" t="e">
        <f>+#REF!</f>
        <v>#REF!</v>
      </c>
      <c r="B42" s="858" t="e">
        <f>+#REF!</f>
        <v>#REF!</v>
      </c>
      <c r="C42" s="859" t="e">
        <f t="shared" si="0"/>
        <v>#REF!</v>
      </c>
      <c r="D42" s="860" t="e">
        <f t="shared" si="3"/>
        <v>#REF!</v>
      </c>
      <c r="E42" s="861" t="e">
        <f t="shared" si="1"/>
        <v>#REF!</v>
      </c>
      <c r="F42" s="859" t="e">
        <f>+#REF!</f>
        <v>#REF!</v>
      </c>
      <c r="G42" s="861" t="e">
        <f t="shared" si="2"/>
        <v>#REF!</v>
      </c>
      <c r="H42" s="1781"/>
      <c r="I42" s="1781"/>
      <c r="J42" s="1781"/>
      <c r="K42" s="1781"/>
      <c r="L42" s="1781"/>
      <c r="M42" s="1782"/>
      <c r="U42" s="826"/>
      <c r="V42" s="829"/>
      <c r="W42" s="829"/>
      <c r="X42" s="829"/>
      <c r="Y42" s="829"/>
      <c r="Z42" s="829"/>
    </row>
    <row r="43" spans="1:26" x14ac:dyDescent="0.3">
      <c r="A43" s="910" t="e">
        <f>+#REF!</f>
        <v>#REF!</v>
      </c>
      <c r="B43" s="862" t="e">
        <f>+#REF!</f>
        <v>#REF!</v>
      </c>
      <c r="C43" s="863" t="e">
        <f t="shared" si="0"/>
        <v>#REF!</v>
      </c>
      <c r="D43" s="864">
        <f>+S15</f>
        <v>0</v>
      </c>
      <c r="E43" s="865" t="e">
        <f t="shared" si="1"/>
        <v>#REF!</v>
      </c>
      <c r="F43" s="859">
        <v>1.9</v>
      </c>
      <c r="G43" s="865">
        <f t="shared" si="2"/>
        <v>0</v>
      </c>
      <c r="H43" s="1783" t="s">
        <v>2318</v>
      </c>
      <c r="I43" s="1783"/>
      <c r="J43" s="1783"/>
      <c r="K43" s="1783"/>
      <c r="L43" s="1783"/>
      <c r="M43" s="1784"/>
      <c r="U43" s="826"/>
      <c r="V43" s="829"/>
      <c r="W43" s="829"/>
      <c r="X43" s="829"/>
      <c r="Y43" s="829"/>
      <c r="Z43" s="829"/>
    </row>
    <row r="44" spans="1:26" x14ac:dyDescent="0.3">
      <c r="A44" s="1785" t="s">
        <v>2328</v>
      </c>
      <c r="B44" s="1786"/>
      <c r="C44" s="1786"/>
      <c r="D44" s="866" t="e">
        <f>SUM(D33:D43)</f>
        <v>#REF!</v>
      </c>
      <c r="E44" s="866" t="e">
        <f>SUM(E33:E43)</f>
        <v>#REF!</v>
      </c>
      <c r="F44" s="867"/>
      <c r="G44" s="866" t="e">
        <f>SUM(G33:G43)</f>
        <v>#REF!</v>
      </c>
      <c r="H44" s="1780" t="e">
        <f>+#REF!</f>
        <v>#REF!</v>
      </c>
      <c r="I44" s="1781"/>
      <c r="J44" s="1781"/>
      <c r="K44" s="1781"/>
      <c r="L44" s="1781"/>
      <c r="M44" s="912" t="s">
        <v>904</v>
      </c>
      <c r="U44" s="826"/>
      <c r="V44" s="829"/>
      <c r="W44" s="829"/>
      <c r="X44" s="829"/>
      <c r="Y44" s="829"/>
      <c r="Z44" s="829"/>
    </row>
    <row r="45" spans="1:26" x14ac:dyDescent="0.3">
      <c r="A45" s="913"/>
      <c r="B45" s="831"/>
      <c r="C45" s="831"/>
      <c r="D45" s="832"/>
      <c r="E45" s="832"/>
      <c r="F45" s="830"/>
      <c r="G45" s="832"/>
      <c r="H45" s="1781"/>
      <c r="I45" s="1781"/>
      <c r="J45" s="1781"/>
      <c r="K45" s="1781"/>
      <c r="L45" s="1781"/>
      <c r="M45" s="1782"/>
      <c r="U45" s="826"/>
      <c r="V45" s="829"/>
      <c r="W45" s="829"/>
      <c r="X45" s="829"/>
      <c r="Y45" s="829"/>
      <c r="Z45" s="829"/>
    </row>
    <row r="46" spans="1:26" ht="15" customHeight="1" thickBot="1" x14ac:dyDescent="0.35">
      <c r="A46" s="900"/>
      <c r="B46" s="802"/>
      <c r="C46" s="802"/>
      <c r="D46" s="802"/>
      <c r="E46" s="802"/>
      <c r="F46" s="802"/>
      <c r="G46" s="802"/>
      <c r="H46" s="1781"/>
      <c r="I46" s="1781"/>
      <c r="J46" s="1781"/>
      <c r="K46" s="1781"/>
      <c r="L46" s="1781"/>
      <c r="M46" s="1782"/>
      <c r="U46" s="826"/>
      <c r="V46" s="829"/>
      <c r="W46" s="829"/>
      <c r="X46" s="829"/>
      <c r="Y46" s="829"/>
      <c r="Z46" s="829"/>
    </row>
    <row r="47" spans="1:26" x14ac:dyDescent="0.3">
      <c r="A47" s="1762" t="s">
        <v>2331</v>
      </c>
      <c r="B47" s="1763"/>
      <c r="C47" s="1763"/>
      <c r="D47" s="1763"/>
      <c r="E47" s="1764"/>
      <c r="F47" s="802"/>
      <c r="G47" s="802"/>
      <c r="H47" s="1780"/>
      <c r="I47" s="1781"/>
      <c r="J47" s="1781"/>
      <c r="K47" s="1781"/>
      <c r="L47" s="1781"/>
      <c r="M47" s="912" t="s">
        <v>904</v>
      </c>
      <c r="U47" s="826"/>
      <c r="V47" s="818"/>
      <c r="W47" s="818"/>
      <c r="X47" s="818"/>
      <c r="Y47" s="818"/>
      <c r="Z47" s="818"/>
    </row>
    <row r="48" spans="1:26" x14ac:dyDescent="0.3">
      <c r="A48" s="1774" t="e">
        <f>+#REF!</f>
        <v>#REF!</v>
      </c>
      <c r="B48" s="1775"/>
      <c r="C48" s="1775"/>
      <c r="D48" s="1775"/>
      <c r="E48" s="935" t="e">
        <f>+#REF!</f>
        <v>#REF!</v>
      </c>
      <c r="F48" s="825"/>
      <c r="G48" s="833"/>
      <c r="H48" s="802"/>
      <c r="I48" s="802"/>
      <c r="J48" s="802"/>
      <c r="K48" s="802"/>
      <c r="L48" s="802"/>
      <c r="M48" s="912"/>
      <c r="U48" s="826"/>
      <c r="V48" s="818"/>
      <c r="W48" s="818"/>
      <c r="X48" s="818"/>
      <c r="Y48" s="818"/>
      <c r="Z48" s="818"/>
    </row>
    <row r="49" spans="1:26" x14ac:dyDescent="0.3">
      <c r="A49" s="1772" t="e">
        <f>+#REF!</f>
        <v>#REF!</v>
      </c>
      <c r="B49" s="1773"/>
      <c r="C49" s="1773"/>
      <c r="D49" s="1773"/>
      <c r="E49" s="936" t="e">
        <f>+#REF!</f>
        <v>#REF!</v>
      </c>
      <c r="F49" s="825"/>
      <c r="G49" s="824"/>
      <c r="H49" s="1776"/>
      <c r="I49" s="1776"/>
      <c r="J49" s="1776"/>
      <c r="K49" s="1776"/>
      <c r="L49" s="1776"/>
      <c r="M49" s="914"/>
      <c r="U49" s="826"/>
      <c r="V49" s="818"/>
      <c r="W49" s="818"/>
      <c r="X49" s="818"/>
      <c r="Y49" s="818"/>
      <c r="Z49" s="818"/>
    </row>
    <row r="50" spans="1:26" x14ac:dyDescent="0.3">
      <c r="A50" s="1772" t="e">
        <f>+#REF!</f>
        <v>#REF!</v>
      </c>
      <c r="B50" s="1773"/>
      <c r="C50" s="1773"/>
      <c r="D50" s="1773"/>
      <c r="E50" s="936" t="e">
        <f>+#REF!</f>
        <v>#REF!</v>
      </c>
      <c r="F50" s="825"/>
      <c r="G50" s="810"/>
      <c r="H50" s="810"/>
      <c r="I50" s="810"/>
      <c r="J50" s="810"/>
      <c r="K50" s="834"/>
      <c r="L50" s="835"/>
      <c r="M50" s="915"/>
      <c r="U50" s="826"/>
      <c r="V50" s="1777"/>
      <c r="W50" s="1777"/>
      <c r="X50" s="1777"/>
      <c r="Y50" s="1777"/>
      <c r="Z50" s="829"/>
    </row>
    <row r="51" spans="1:26" x14ac:dyDescent="0.3">
      <c r="A51" s="1774" t="e">
        <f>+#REF!</f>
        <v>#REF!</v>
      </c>
      <c r="B51" s="1775"/>
      <c r="C51" s="1775"/>
      <c r="D51" s="1775"/>
      <c r="E51" s="935" t="e">
        <f>+#REF!</f>
        <v>#REF!</v>
      </c>
      <c r="F51" s="825"/>
      <c r="G51" s="818"/>
      <c r="H51" s="818"/>
      <c r="I51" s="818"/>
      <c r="J51" s="836"/>
      <c r="K51" s="837"/>
      <c r="L51" s="1778"/>
      <c r="M51" s="1779"/>
      <c r="T51" s="826"/>
    </row>
    <row r="52" spans="1:26" x14ac:dyDescent="0.3">
      <c r="A52" s="1772" t="e">
        <f>+#REF!</f>
        <v>#REF!</v>
      </c>
      <c r="B52" s="1773"/>
      <c r="C52" s="1773"/>
      <c r="D52" s="1773"/>
      <c r="E52" s="936" t="e">
        <f>+#REF!</f>
        <v>#REF!</v>
      </c>
      <c r="F52" s="825"/>
      <c r="G52" s="1851" t="s">
        <v>2701</v>
      </c>
      <c r="H52" s="1851"/>
      <c r="I52" s="1851"/>
      <c r="J52" s="1851"/>
      <c r="K52" s="1851"/>
      <c r="L52" s="1851"/>
      <c r="M52" s="1852"/>
      <c r="T52" s="826"/>
    </row>
    <row r="53" spans="1:26" x14ac:dyDescent="0.3">
      <c r="A53" s="1774" t="e">
        <f>+#REF!</f>
        <v>#REF!</v>
      </c>
      <c r="B53" s="1775"/>
      <c r="C53" s="1775"/>
      <c r="D53" s="1775"/>
      <c r="E53" s="935" t="e">
        <f>+#REF!</f>
        <v>#REF!</v>
      </c>
      <c r="F53" s="802"/>
      <c r="G53" s="1851"/>
      <c r="H53" s="1851"/>
      <c r="I53" s="1851"/>
      <c r="J53" s="1851"/>
      <c r="K53" s="1851"/>
      <c r="L53" s="1851"/>
      <c r="M53" s="1852"/>
      <c r="R53" s="826"/>
      <c r="S53" s="826"/>
      <c r="T53" s="826"/>
    </row>
    <row r="54" spans="1:26" ht="15" customHeight="1" x14ac:dyDescent="0.3">
      <c r="A54" s="1774" t="e">
        <f>+#REF!</f>
        <v>#REF!</v>
      </c>
      <c r="B54" s="1775"/>
      <c r="C54" s="1775"/>
      <c r="D54" s="1775"/>
      <c r="E54" s="935" t="e">
        <f>+#REF!</f>
        <v>#REF!</v>
      </c>
      <c r="F54" s="802"/>
      <c r="G54" s="1851"/>
      <c r="H54" s="1851"/>
      <c r="I54" s="1851"/>
      <c r="J54" s="1851"/>
      <c r="K54" s="1851"/>
      <c r="L54" s="1851"/>
      <c r="M54" s="1852"/>
      <c r="R54" s="826"/>
      <c r="S54" s="826"/>
      <c r="T54" s="826"/>
    </row>
    <row r="55" spans="1:26" x14ac:dyDescent="0.3">
      <c r="A55" s="1772" t="e">
        <f>+#REF!</f>
        <v>#REF!</v>
      </c>
      <c r="B55" s="1773"/>
      <c r="C55" s="1773"/>
      <c r="D55" s="1773"/>
      <c r="E55" s="936" t="e">
        <f>+#REF!</f>
        <v>#REF!</v>
      </c>
      <c r="F55" s="802"/>
      <c r="G55" s="1760" t="s">
        <v>2688</v>
      </c>
      <c r="H55" s="1760"/>
      <c r="I55" s="854" t="s">
        <v>2690</v>
      </c>
      <c r="J55" s="854" t="s">
        <v>2692</v>
      </c>
      <c r="K55" s="854" t="s">
        <v>2694</v>
      </c>
      <c r="L55" s="1761" t="s">
        <v>2696</v>
      </c>
      <c r="M55" s="1850" t="s">
        <v>2708</v>
      </c>
    </row>
    <row r="56" spans="1:26" x14ac:dyDescent="0.3">
      <c r="A56" s="1774" t="e">
        <f>+#REF!</f>
        <v>#REF!</v>
      </c>
      <c r="B56" s="1775"/>
      <c r="C56" s="1775"/>
      <c r="D56" s="1775"/>
      <c r="E56" s="935" t="e">
        <f>+#REF!</f>
        <v>#REF!</v>
      </c>
      <c r="F56" s="802"/>
      <c r="G56" s="854" t="s">
        <v>2689</v>
      </c>
      <c r="H56" s="854" t="s">
        <v>2376</v>
      </c>
      <c r="I56" s="854" t="s">
        <v>2691</v>
      </c>
      <c r="J56" s="868" t="s">
        <v>2693</v>
      </c>
      <c r="K56" s="854" t="s">
        <v>2695</v>
      </c>
      <c r="L56" s="1761"/>
      <c r="M56" s="1850"/>
    </row>
    <row r="57" spans="1:26" x14ac:dyDescent="0.3">
      <c r="A57" s="1772" t="e">
        <f>+#REF!</f>
        <v>#REF!</v>
      </c>
      <c r="B57" s="1773"/>
      <c r="C57" s="1773"/>
      <c r="D57" s="1773"/>
      <c r="E57" s="936" t="e">
        <f>+#REF!</f>
        <v>#REF!</v>
      </c>
      <c r="F57" s="802"/>
      <c r="G57" s="854" t="s">
        <v>2702</v>
      </c>
      <c r="H57" s="854" t="s">
        <v>2703</v>
      </c>
      <c r="I57" s="854">
        <v>23</v>
      </c>
      <c r="J57" s="854">
        <v>22.39</v>
      </c>
      <c r="K57" s="854">
        <v>18</v>
      </c>
      <c r="L57" s="819">
        <f>+I57/6</f>
        <v>3.8333333333333335</v>
      </c>
      <c r="M57" s="916">
        <f>0.0797*L57</f>
        <v>0.30551666666666666</v>
      </c>
    </row>
    <row r="58" spans="1:26" ht="17.25" thickBot="1" x14ac:dyDescent="0.35">
      <c r="A58" s="1766" t="s">
        <v>2332</v>
      </c>
      <c r="B58" s="1767"/>
      <c r="C58" s="1767"/>
      <c r="D58" s="1767"/>
      <c r="E58" s="937" t="e">
        <f>SUM(E48:E57)</f>
        <v>#REF!</v>
      </c>
      <c r="F58" s="802"/>
      <c r="G58" s="854" t="s">
        <v>2704</v>
      </c>
      <c r="H58" s="854" t="s">
        <v>2705</v>
      </c>
      <c r="I58" s="854">
        <v>6</v>
      </c>
      <c r="J58" s="854">
        <v>27.5</v>
      </c>
      <c r="K58" s="854">
        <v>36</v>
      </c>
      <c r="L58" s="854">
        <f>+I58/6</f>
        <v>1</v>
      </c>
      <c r="M58" s="916">
        <f>0.162*L58</f>
        <v>0.16200000000000001</v>
      </c>
    </row>
    <row r="59" spans="1:26" x14ac:dyDescent="0.3">
      <c r="A59" s="900"/>
      <c r="B59" s="802"/>
      <c r="C59" s="802"/>
      <c r="D59" s="802"/>
      <c r="E59" s="802"/>
      <c r="F59" s="802"/>
      <c r="G59" s="870" t="s">
        <v>2706</v>
      </c>
      <c r="H59" s="870" t="s">
        <v>2707</v>
      </c>
      <c r="I59" s="870">
        <v>20.5</v>
      </c>
      <c r="J59" s="870">
        <v>25.37</v>
      </c>
      <c r="K59" s="870">
        <v>36</v>
      </c>
      <c r="L59" s="869">
        <f>+I59/6</f>
        <v>3.4166666666666665</v>
      </c>
      <c r="M59" s="916">
        <f>0.162*L59</f>
        <v>0.55349999999999999</v>
      </c>
      <c r="O59" s="839"/>
      <c r="P59" s="839"/>
      <c r="Q59" s="839"/>
      <c r="R59" s="839"/>
      <c r="S59" s="839"/>
      <c r="T59" s="839"/>
    </row>
    <row r="60" spans="1:26" ht="17.25" thickBot="1" x14ac:dyDescent="0.35">
      <c r="A60" s="900"/>
      <c r="B60" s="802"/>
      <c r="C60" s="802"/>
      <c r="D60" s="802"/>
      <c r="E60" s="802"/>
      <c r="F60" s="802"/>
      <c r="G60" s="838"/>
      <c r="H60" s="838"/>
      <c r="I60" s="838"/>
      <c r="J60" s="838"/>
      <c r="K60" s="838"/>
      <c r="L60" s="840"/>
      <c r="M60" s="912"/>
      <c r="O60" s="839"/>
      <c r="P60" s="839"/>
      <c r="Q60" s="839"/>
      <c r="R60" s="839"/>
      <c r="S60" s="839"/>
      <c r="T60" s="839"/>
      <c r="U60" s="839"/>
    </row>
    <row r="61" spans="1:26" x14ac:dyDescent="0.3">
      <c r="A61" s="1768" t="s">
        <v>2374</v>
      </c>
      <c r="B61" s="1769"/>
      <c r="C61" s="938" t="s">
        <v>2375</v>
      </c>
      <c r="D61" s="939">
        <f>+(B63+A65+B65+B65+A67+A63+B63)</f>
        <v>5.8250000000000002</v>
      </c>
      <c r="E61" s="940" t="s">
        <v>2370</v>
      </c>
      <c r="F61" s="802"/>
      <c r="G61" s="838"/>
      <c r="H61" s="838"/>
      <c r="I61" s="838"/>
      <c r="J61" s="838"/>
      <c r="K61" s="838"/>
      <c r="L61" s="840">
        <f>+I61/6</f>
        <v>0</v>
      </c>
      <c r="M61" s="917">
        <f>SUM(M57:M59)</f>
        <v>1.0210166666666667</v>
      </c>
      <c r="O61" s="839"/>
      <c r="P61" s="839"/>
      <c r="Q61" s="839"/>
      <c r="R61" s="839"/>
      <c r="S61" s="839"/>
      <c r="T61" s="839"/>
      <c r="U61" s="839"/>
    </row>
    <row r="62" spans="1:26" x14ac:dyDescent="0.3">
      <c r="A62" s="918" t="s">
        <v>2376</v>
      </c>
      <c r="B62" s="873" t="s">
        <v>2377</v>
      </c>
      <c r="C62" s="871" t="s">
        <v>2378</v>
      </c>
      <c r="D62" s="872">
        <f>(((B63+A65+B65)+(B65+B63+A67))/2)*A63</f>
        <v>4.2374999999999998</v>
      </c>
      <c r="E62" s="941" t="s">
        <v>2326</v>
      </c>
      <c r="F62" s="841"/>
      <c r="G62" s="838"/>
      <c r="H62" s="838"/>
      <c r="I62" s="838"/>
      <c r="J62" s="838"/>
      <c r="K62" s="838"/>
      <c r="L62" s="838"/>
      <c r="M62" s="912"/>
      <c r="O62" s="839"/>
      <c r="P62" s="839"/>
      <c r="Q62" s="839"/>
      <c r="R62" s="839"/>
      <c r="S62" s="839"/>
      <c r="T62" s="839"/>
      <c r="U62" s="839"/>
    </row>
    <row r="63" spans="1:26" x14ac:dyDescent="0.3">
      <c r="A63" s="919">
        <v>3</v>
      </c>
      <c r="B63" s="874">
        <v>0.3</v>
      </c>
      <c r="C63" s="871" t="s">
        <v>2379</v>
      </c>
      <c r="D63" s="872">
        <f>+D62</f>
        <v>4.2374999999999998</v>
      </c>
      <c r="E63" s="941" t="s">
        <v>2326</v>
      </c>
      <c r="F63" s="841"/>
      <c r="G63" s="838"/>
      <c r="H63" s="838"/>
      <c r="I63" s="838"/>
      <c r="J63" s="838"/>
      <c r="K63" s="838"/>
      <c r="L63" s="838"/>
      <c r="M63" s="912"/>
      <c r="O63" s="839"/>
      <c r="P63" s="839"/>
      <c r="Q63" s="839"/>
      <c r="R63" s="839"/>
      <c r="S63" s="839"/>
      <c r="T63" s="839"/>
      <c r="U63" s="839"/>
    </row>
    <row r="64" spans="1:26" x14ac:dyDescent="0.3">
      <c r="A64" s="918" t="s">
        <v>2380</v>
      </c>
      <c r="B64" s="873" t="s">
        <v>2381</v>
      </c>
      <c r="C64" s="871" t="s">
        <v>2382</v>
      </c>
      <c r="D64" s="872">
        <v>0.2</v>
      </c>
      <c r="E64" s="941" t="s">
        <v>2327</v>
      </c>
      <c r="F64" s="841"/>
      <c r="G64" s="838"/>
      <c r="H64" s="838"/>
      <c r="I64" s="838"/>
      <c r="J64" s="838"/>
      <c r="K64" s="838"/>
      <c r="L64" s="838"/>
      <c r="M64" s="912"/>
      <c r="O64" s="839"/>
      <c r="P64" s="839"/>
      <c r="Q64" s="839"/>
      <c r="R64" s="839"/>
      <c r="S64" s="839"/>
      <c r="T64" s="839"/>
      <c r="U64" s="839"/>
    </row>
    <row r="65" spans="1:21" ht="17.25" thickBot="1" x14ac:dyDescent="0.35">
      <c r="A65" s="919">
        <v>0.71</v>
      </c>
      <c r="B65" s="874">
        <v>0.6</v>
      </c>
      <c r="C65" s="1770" t="s">
        <v>2383</v>
      </c>
      <c r="D65" s="1771">
        <f>(D61*B67*D64)+(D62*D64)+(D63*D64)</f>
        <v>4.5026499999998943</v>
      </c>
      <c r="E65" s="1765" t="s">
        <v>2155</v>
      </c>
      <c r="F65" s="841"/>
      <c r="G65" s="838"/>
      <c r="H65" s="838"/>
      <c r="I65" s="838"/>
      <c r="J65" s="838"/>
      <c r="K65" s="838"/>
      <c r="L65" s="838"/>
      <c r="M65" s="912"/>
      <c r="O65" s="839"/>
      <c r="P65" s="839"/>
      <c r="Q65" s="839"/>
      <c r="R65" s="839"/>
      <c r="S65" s="839"/>
      <c r="T65" s="839"/>
      <c r="U65" s="839"/>
    </row>
    <row r="66" spans="1:21" x14ac:dyDescent="0.3">
      <c r="A66" s="918" t="s">
        <v>2384</v>
      </c>
      <c r="B66" s="873" t="s">
        <v>2385</v>
      </c>
      <c r="C66" s="1770"/>
      <c r="D66" s="1771"/>
      <c r="E66" s="1765"/>
      <c r="F66" s="841"/>
      <c r="G66" s="876" t="s">
        <v>2697</v>
      </c>
      <c r="H66" s="877"/>
      <c r="I66" s="877"/>
      <c r="J66" s="877" t="s">
        <v>2698</v>
      </c>
      <c r="K66" s="877"/>
      <c r="L66" s="878"/>
      <c r="M66" s="912"/>
      <c r="O66" s="839"/>
      <c r="P66" s="839"/>
      <c r="Q66" s="839"/>
      <c r="R66" s="839"/>
      <c r="S66" s="839"/>
      <c r="T66" s="839"/>
      <c r="U66" s="839"/>
    </row>
    <row r="67" spans="1:21" x14ac:dyDescent="0.3">
      <c r="A67" s="919">
        <v>0.315</v>
      </c>
      <c r="B67" s="874">
        <v>2.4099999999999091</v>
      </c>
      <c r="C67" s="871" t="s">
        <v>2386</v>
      </c>
      <c r="D67" s="875">
        <v>120</v>
      </c>
      <c r="E67" s="942" t="s">
        <v>2387</v>
      </c>
      <c r="F67" s="841"/>
      <c r="G67" s="879"/>
      <c r="H67" s="838"/>
      <c r="I67" s="838"/>
      <c r="J67" s="838"/>
      <c r="K67" s="838"/>
      <c r="L67" s="880"/>
      <c r="M67" s="912"/>
      <c r="O67" s="839"/>
      <c r="P67" s="839"/>
      <c r="Q67" s="839"/>
      <c r="R67" s="839"/>
      <c r="S67" s="839"/>
      <c r="T67" s="839"/>
      <c r="U67" s="839"/>
    </row>
    <row r="68" spans="1:21" ht="17.25" thickBot="1" x14ac:dyDescent="0.35">
      <c r="A68" s="918" t="s">
        <v>2388</v>
      </c>
      <c r="B68" s="873" t="s">
        <v>2389</v>
      </c>
      <c r="C68" s="871" t="s">
        <v>2390</v>
      </c>
      <c r="D68" s="875">
        <f>+D67*D65</f>
        <v>540.31799999998736</v>
      </c>
      <c r="E68" s="942" t="s">
        <v>2391</v>
      </c>
      <c r="F68" s="841"/>
      <c r="G68" s="881" t="s">
        <v>2699</v>
      </c>
      <c r="H68" s="882"/>
      <c r="I68" s="882" t="s">
        <v>2700</v>
      </c>
      <c r="J68" s="882"/>
      <c r="K68" s="882"/>
      <c r="L68" s="883"/>
      <c r="M68" s="912"/>
      <c r="O68" s="839"/>
      <c r="P68" s="839"/>
      <c r="Q68" s="839"/>
      <c r="R68" s="839"/>
      <c r="S68" s="839"/>
      <c r="T68" s="839"/>
      <c r="U68" s="839"/>
    </row>
    <row r="69" spans="1:21" ht="17.25" thickBot="1" x14ac:dyDescent="0.35">
      <c r="A69" s="920">
        <v>0.59999999999990905</v>
      </c>
      <c r="B69" s="921">
        <v>0.03</v>
      </c>
      <c r="C69" s="922"/>
      <c r="D69" s="922"/>
      <c r="E69" s="943"/>
      <c r="F69" s="923"/>
      <c r="G69" s="882"/>
      <c r="H69" s="882"/>
      <c r="I69" s="882"/>
      <c r="J69" s="882"/>
      <c r="K69" s="882"/>
      <c r="L69" s="882"/>
      <c r="M69" s="924"/>
      <c r="P69" s="839"/>
      <c r="Q69" s="839"/>
      <c r="R69" s="839"/>
      <c r="S69" s="839"/>
      <c r="T69" s="839"/>
      <c r="U69" s="839"/>
    </row>
    <row r="70" spans="1:21" x14ac:dyDescent="0.3">
      <c r="A70" s="842"/>
      <c r="B70" s="842"/>
      <c r="C70" s="842"/>
      <c r="D70" s="842"/>
      <c r="E70" s="842"/>
      <c r="F70" s="842"/>
      <c r="G70" s="839"/>
      <c r="H70" s="839"/>
      <c r="I70" s="839"/>
      <c r="J70" s="839"/>
      <c r="K70" s="839"/>
      <c r="L70" s="839"/>
    </row>
  </sheetData>
  <mergeCells count="85">
    <mergeCell ref="M55:M56"/>
    <mergeCell ref="G52:M54"/>
    <mergeCell ref="A22:B22"/>
    <mergeCell ref="C22:D22"/>
    <mergeCell ref="E22:F22"/>
    <mergeCell ref="H22:K22"/>
    <mergeCell ref="M25:M26"/>
    <mergeCell ref="A26:C26"/>
    <mergeCell ref="H23:K23"/>
    <mergeCell ref="A23:B23"/>
    <mergeCell ref="C23:D23"/>
    <mergeCell ref="E23:F23"/>
    <mergeCell ref="H24:M24"/>
    <mergeCell ref="A24:B24"/>
    <mergeCell ref="C24:D24"/>
    <mergeCell ref="E24:F24"/>
    <mergeCell ref="A1:M1"/>
    <mergeCell ref="A2:M3"/>
    <mergeCell ref="A4:G4"/>
    <mergeCell ref="H4:M4"/>
    <mergeCell ref="H5:K5"/>
    <mergeCell ref="A15:B15"/>
    <mergeCell ref="H9:K9"/>
    <mergeCell ref="H10:M10"/>
    <mergeCell ref="H11:K12"/>
    <mergeCell ref="L11:L12"/>
    <mergeCell ref="M11:M12"/>
    <mergeCell ref="A6:A14"/>
    <mergeCell ref="H13:K18"/>
    <mergeCell ref="L13:L18"/>
    <mergeCell ref="M13:M18"/>
    <mergeCell ref="H6:M6"/>
    <mergeCell ref="H7:K7"/>
    <mergeCell ref="H8:K8"/>
    <mergeCell ref="H19:K19"/>
    <mergeCell ref="H20:M20"/>
    <mergeCell ref="A21:F21"/>
    <mergeCell ref="H21:K21"/>
    <mergeCell ref="A20:C20"/>
    <mergeCell ref="H25:K26"/>
    <mergeCell ref="L25:L26"/>
    <mergeCell ref="H27:M27"/>
    <mergeCell ref="H28:K31"/>
    <mergeCell ref="L28:L31"/>
    <mergeCell ref="M28:M31"/>
    <mergeCell ref="A44:C44"/>
    <mergeCell ref="A29:B29"/>
    <mergeCell ref="A30:B30"/>
    <mergeCell ref="H32:M32"/>
    <mergeCell ref="H33:K33"/>
    <mergeCell ref="H34:K34"/>
    <mergeCell ref="H41:L41"/>
    <mergeCell ref="H44:L44"/>
    <mergeCell ref="H35:M35"/>
    <mergeCell ref="H36:K36"/>
    <mergeCell ref="H37:M37"/>
    <mergeCell ref="H38:K38"/>
    <mergeCell ref="H40:M40"/>
    <mergeCell ref="H42:M42"/>
    <mergeCell ref="H47:L47"/>
    <mergeCell ref="H46:M46"/>
    <mergeCell ref="V41:Z41"/>
    <mergeCell ref="H43:M43"/>
    <mergeCell ref="H45:M45"/>
    <mergeCell ref="V50:Y50"/>
    <mergeCell ref="L51:M51"/>
    <mergeCell ref="A52:D52"/>
    <mergeCell ref="A53:D53"/>
    <mergeCell ref="A50:D50"/>
    <mergeCell ref="G55:H55"/>
    <mergeCell ref="L55:L56"/>
    <mergeCell ref="A47:E47"/>
    <mergeCell ref="E65:E66"/>
    <mergeCell ref="A58:D58"/>
    <mergeCell ref="A61:B61"/>
    <mergeCell ref="C65:C66"/>
    <mergeCell ref="D65:D66"/>
    <mergeCell ref="A57:D57"/>
    <mergeCell ref="A51:D51"/>
    <mergeCell ref="A54:D54"/>
    <mergeCell ref="A49:D49"/>
    <mergeCell ref="A55:D55"/>
    <mergeCell ref="A56:D56"/>
    <mergeCell ref="A48:D48"/>
    <mergeCell ref="H49:L4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"/>
  <sheetViews>
    <sheetView view="pageBreakPreview" topLeftCell="A73" zoomScale="60" workbookViewId="0">
      <selection activeCell="S89" sqref="S89"/>
    </sheetView>
  </sheetViews>
  <sheetFormatPr baseColWidth="10" defaultRowHeight="12.75" x14ac:dyDescent="0.2"/>
  <cols>
    <col min="1" max="1" width="23.85546875" style="56" bestFit="1" customWidth="1"/>
    <col min="2" max="2" width="7.42578125" style="56" bestFit="1" customWidth="1"/>
    <col min="3" max="3" width="9.28515625" style="56" bestFit="1" customWidth="1"/>
    <col min="4" max="4" width="13.5703125" style="56" bestFit="1" customWidth="1"/>
    <col min="5" max="5" width="14.7109375" style="56" bestFit="1" customWidth="1"/>
    <col min="6" max="16384" width="11.42578125" style="56"/>
  </cols>
  <sheetData>
    <row r="1" spans="1:10" ht="15" x14ac:dyDescent="0.25">
      <c r="A1" s="1875" t="s">
        <v>2082</v>
      </c>
      <c r="B1" s="1875"/>
      <c r="C1" s="1875"/>
      <c r="D1" s="1875"/>
      <c r="E1" s="1875"/>
    </row>
    <row r="2" spans="1:10" x14ac:dyDescent="0.2">
      <c r="A2" s="1876"/>
      <c r="B2" s="1876"/>
      <c r="C2" s="1876"/>
      <c r="D2" s="1876"/>
      <c r="E2" s="1877"/>
    </row>
    <row r="3" spans="1:10" ht="15" x14ac:dyDescent="0.25">
      <c r="A3" s="1875" t="s">
        <v>928</v>
      </c>
      <c r="B3" s="1875"/>
      <c r="C3" s="1875"/>
      <c r="D3" s="1875"/>
      <c r="E3" s="1875"/>
    </row>
    <row r="4" spans="1:10" x14ac:dyDescent="0.2">
      <c r="A4" s="1878" t="s">
        <v>2271</v>
      </c>
      <c r="B4" s="1878"/>
      <c r="C4" s="1878"/>
      <c r="D4" s="1878"/>
      <c r="E4" s="1878"/>
    </row>
    <row r="5" spans="1:10" ht="13.5" thickBot="1" x14ac:dyDescent="0.25"/>
    <row r="6" spans="1:10" ht="13.5" thickBot="1" x14ac:dyDescent="0.25">
      <c r="A6" s="1869" t="s">
        <v>929</v>
      </c>
      <c r="B6" s="1870"/>
      <c r="C6" s="1870"/>
      <c r="D6" s="1870"/>
      <c r="E6" s="1871"/>
    </row>
    <row r="7" spans="1:10" ht="13.5" thickBot="1" x14ac:dyDescent="0.25">
      <c r="A7" s="58" t="s">
        <v>930</v>
      </c>
      <c r="B7" s="59" t="s">
        <v>931</v>
      </c>
      <c r="C7" s="59" t="s">
        <v>932</v>
      </c>
      <c r="D7" s="59" t="s">
        <v>933</v>
      </c>
      <c r="E7" s="60" t="s">
        <v>934</v>
      </c>
    </row>
    <row r="8" spans="1:10" x14ac:dyDescent="0.2">
      <c r="A8" s="61" t="s">
        <v>935</v>
      </c>
      <c r="B8" s="62" t="s">
        <v>936</v>
      </c>
      <c r="C8" s="63">
        <v>210</v>
      </c>
      <c r="D8" s="64">
        <f>'Valor Materiales'!E57</f>
        <v>550</v>
      </c>
      <c r="E8" s="65">
        <f>ROUND(C8*D8,0)</f>
        <v>115500</v>
      </c>
    </row>
    <row r="9" spans="1:10" x14ac:dyDescent="0.2">
      <c r="A9" s="100" t="s">
        <v>937</v>
      </c>
      <c r="B9" s="101" t="s">
        <v>938</v>
      </c>
      <c r="C9" s="102">
        <v>0.5</v>
      </c>
      <c r="D9" s="103">
        <v>50000</v>
      </c>
      <c r="E9" s="104">
        <f>ROUND(C9*D9,0)</f>
        <v>25000</v>
      </c>
    </row>
    <row r="10" spans="1:10" x14ac:dyDescent="0.2">
      <c r="A10" s="100" t="s">
        <v>939</v>
      </c>
      <c r="B10" s="101" t="s">
        <v>938</v>
      </c>
      <c r="C10" s="102">
        <v>1</v>
      </c>
      <c r="D10" s="103">
        <v>50000</v>
      </c>
      <c r="E10" s="104">
        <f>ROUND(C10*D10,0)</f>
        <v>50000</v>
      </c>
    </row>
    <row r="11" spans="1:10" ht="13.5" thickBot="1" x14ac:dyDescent="0.25">
      <c r="A11" s="1" t="s">
        <v>940</v>
      </c>
      <c r="B11" s="66" t="s">
        <v>938</v>
      </c>
      <c r="C11" s="5">
        <v>0.16</v>
      </c>
      <c r="D11" s="67">
        <v>1065</v>
      </c>
      <c r="E11" s="68">
        <f>ROUND(C11*D11,0)</f>
        <v>170</v>
      </c>
    </row>
    <row r="12" spans="1:10" ht="13.5" thickBot="1" x14ac:dyDescent="0.25">
      <c r="A12" s="69" t="s">
        <v>941</v>
      </c>
      <c r="B12" s="70"/>
      <c r="C12" s="70"/>
      <c r="D12" s="71"/>
      <c r="E12" s="72">
        <f>SUM(E8:E11)</f>
        <v>190670</v>
      </c>
    </row>
    <row r="13" spans="1:10" ht="13.5" thickBot="1" x14ac:dyDescent="0.25"/>
    <row r="14" spans="1:10" ht="13.5" thickBot="1" x14ac:dyDescent="0.25">
      <c r="A14" s="1869" t="s">
        <v>2084</v>
      </c>
      <c r="B14" s="1870"/>
      <c r="C14" s="1870"/>
      <c r="D14" s="1870"/>
      <c r="E14" s="1871"/>
      <c r="F14" s="1869" t="s">
        <v>942</v>
      </c>
      <c r="G14" s="1870"/>
      <c r="H14" s="1870"/>
      <c r="I14" s="1870"/>
      <c r="J14" s="1871"/>
    </row>
    <row r="15" spans="1:10" ht="13.5" thickBot="1" x14ac:dyDescent="0.25">
      <c r="A15" s="58" t="s">
        <v>930</v>
      </c>
      <c r="B15" s="59" t="s">
        <v>931</v>
      </c>
      <c r="C15" s="59" t="s">
        <v>932</v>
      </c>
      <c r="D15" s="59" t="s">
        <v>933</v>
      </c>
      <c r="E15" s="60" t="s">
        <v>934</v>
      </c>
      <c r="F15" s="58" t="s">
        <v>930</v>
      </c>
      <c r="G15" s="59" t="s">
        <v>931</v>
      </c>
      <c r="H15" s="59" t="s">
        <v>932</v>
      </c>
      <c r="I15" s="59" t="s">
        <v>933</v>
      </c>
      <c r="J15" s="60" t="s">
        <v>934</v>
      </c>
    </row>
    <row r="16" spans="1:10" x14ac:dyDescent="0.2">
      <c r="A16" s="61" t="s">
        <v>935</v>
      </c>
      <c r="B16" s="73" t="s">
        <v>936</v>
      </c>
      <c r="C16" s="74">
        <v>390</v>
      </c>
      <c r="D16" s="75">
        <f>+D8</f>
        <v>550</v>
      </c>
      <c r="E16" s="76">
        <f t="shared" ref="E16:E23" si="0">ROUND(C16*D16,0)</f>
        <v>214500</v>
      </c>
      <c r="F16" s="61" t="s">
        <v>935</v>
      </c>
      <c r="G16" s="73" t="s">
        <v>936</v>
      </c>
      <c r="H16" s="74">
        <v>390</v>
      </c>
      <c r="I16" s="75">
        <v>620</v>
      </c>
      <c r="J16" s="76">
        <f t="shared" ref="J16:J23" si="1">ROUND(H16*I16,0)</f>
        <v>241800</v>
      </c>
    </row>
    <row r="17" spans="1:10" x14ac:dyDescent="0.2">
      <c r="A17" s="100" t="s">
        <v>943</v>
      </c>
      <c r="B17" s="105" t="s">
        <v>938</v>
      </c>
      <c r="C17" s="106">
        <v>0.42</v>
      </c>
      <c r="D17" s="107">
        <v>54000</v>
      </c>
      <c r="E17" s="108">
        <f t="shared" si="0"/>
        <v>22680</v>
      </c>
      <c r="F17" s="100" t="s">
        <v>943</v>
      </c>
      <c r="G17" s="105" t="s">
        <v>938</v>
      </c>
      <c r="H17" s="106">
        <v>0.42</v>
      </c>
      <c r="I17" s="107">
        <v>54000</v>
      </c>
      <c r="J17" s="108">
        <f t="shared" si="1"/>
        <v>22680</v>
      </c>
    </row>
    <row r="18" spans="1:10" x14ac:dyDescent="0.2">
      <c r="A18" s="100" t="s">
        <v>944</v>
      </c>
      <c r="B18" s="105" t="s">
        <v>938</v>
      </c>
      <c r="C18" s="106">
        <v>0.81</v>
      </c>
      <c r="D18" s="107">
        <v>60000</v>
      </c>
      <c r="E18" s="108">
        <f t="shared" si="0"/>
        <v>48600</v>
      </c>
      <c r="F18" s="100" t="s">
        <v>944</v>
      </c>
      <c r="G18" s="105" t="s">
        <v>938</v>
      </c>
      <c r="H18" s="106">
        <v>0.81</v>
      </c>
      <c r="I18" s="107">
        <v>60000</v>
      </c>
      <c r="J18" s="108">
        <f t="shared" si="1"/>
        <v>48600</v>
      </c>
    </row>
    <row r="19" spans="1:10" x14ac:dyDescent="0.2">
      <c r="A19" s="1" t="s">
        <v>940</v>
      </c>
      <c r="B19" s="77" t="s">
        <v>938</v>
      </c>
      <c r="C19" s="78">
        <v>0.17</v>
      </c>
      <c r="D19" s="79">
        <f>+D11</f>
        <v>1065</v>
      </c>
      <c r="E19" s="80">
        <f t="shared" si="0"/>
        <v>181</v>
      </c>
      <c r="F19" s="1" t="s">
        <v>940</v>
      </c>
      <c r="G19" s="77" t="s">
        <v>938</v>
      </c>
      <c r="H19" s="78">
        <v>0.17</v>
      </c>
      <c r="I19" s="79">
        <v>1065</v>
      </c>
      <c r="J19" s="80">
        <f t="shared" si="1"/>
        <v>181</v>
      </c>
    </row>
    <row r="20" spans="1:10" x14ac:dyDescent="0.2">
      <c r="A20" s="1" t="s">
        <v>945</v>
      </c>
      <c r="B20" s="77" t="s">
        <v>914</v>
      </c>
      <c r="C20" s="78">
        <v>0.13</v>
      </c>
      <c r="D20" s="79">
        <f>+'Análisis Mano de Obra'!F59</f>
        <v>198215.5</v>
      </c>
      <c r="E20" s="80">
        <f t="shared" si="0"/>
        <v>25768</v>
      </c>
      <c r="F20" s="1" t="s">
        <v>945</v>
      </c>
      <c r="G20" s="77" t="s">
        <v>914</v>
      </c>
      <c r="H20" s="78">
        <v>0.13</v>
      </c>
      <c r="I20" s="79">
        <v>116937</v>
      </c>
      <c r="J20" s="80">
        <f t="shared" si="1"/>
        <v>15202</v>
      </c>
    </row>
    <row r="21" spans="1:10" x14ac:dyDescent="0.2">
      <c r="A21" s="1" t="s">
        <v>946</v>
      </c>
      <c r="B21" s="77" t="s">
        <v>914</v>
      </c>
      <c r="C21" s="78">
        <v>0.16</v>
      </c>
      <c r="D21" s="79">
        <v>27839.999999999996</v>
      </c>
      <c r="E21" s="80">
        <f t="shared" si="0"/>
        <v>4454</v>
      </c>
      <c r="F21" s="1" t="s">
        <v>946</v>
      </c>
      <c r="G21" s="77" t="s">
        <v>914</v>
      </c>
      <c r="H21" s="78">
        <v>0.16</v>
      </c>
      <c r="I21" s="79">
        <v>27840</v>
      </c>
      <c r="J21" s="80">
        <f t="shared" si="1"/>
        <v>4454</v>
      </c>
    </row>
    <row r="22" spans="1:10" x14ac:dyDescent="0.2">
      <c r="A22" s="1" t="s">
        <v>947</v>
      </c>
      <c r="B22" s="77" t="s">
        <v>913</v>
      </c>
      <c r="C22" s="78">
        <v>1</v>
      </c>
      <c r="D22" s="79">
        <v>10000</v>
      </c>
      <c r="E22" s="80">
        <f t="shared" si="0"/>
        <v>10000</v>
      </c>
      <c r="F22" s="1" t="s">
        <v>947</v>
      </c>
      <c r="G22" s="77" t="s">
        <v>913</v>
      </c>
      <c r="H22" s="78">
        <v>1</v>
      </c>
      <c r="I22" s="79">
        <v>10000</v>
      </c>
      <c r="J22" s="80">
        <f t="shared" si="1"/>
        <v>10000</v>
      </c>
    </row>
    <row r="23" spans="1:10" ht="13.5" thickBot="1" x14ac:dyDescent="0.25">
      <c r="A23" s="1" t="s">
        <v>948</v>
      </c>
      <c r="B23" s="81" t="s">
        <v>913</v>
      </c>
      <c r="C23" s="82">
        <v>1</v>
      </c>
      <c r="D23" s="83">
        <v>1500</v>
      </c>
      <c r="E23" s="80">
        <f t="shared" si="0"/>
        <v>1500</v>
      </c>
      <c r="F23" s="1" t="s">
        <v>948</v>
      </c>
      <c r="G23" s="81" t="s">
        <v>913</v>
      </c>
      <c r="H23" s="82">
        <v>1</v>
      </c>
      <c r="I23" s="83">
        <v>1500</v>
      </c>
      <c r="J23" s="80">
        <f t="shared" si="1"/>
        <v>1500</v>
      </c>
    </row>
    <row r="24" spans="1:10" ht="13.5" thickBot="1" x14ac:dyDescent="0.25">
      <c r="A24" s="69" t="s">
        <v>941</v>
      </c>
      <c r="B24" s="70"/>
      <c r="C24" s="70"/>
      <c r="D24" s="71"/>
      <c r="E24" s="72">
        <f>SUM(E16:E23)</f>
        <v>327683</v>
      </c>
      <c r="F24" s="69" t="s">
        <v>941</v>
      </c>
      <c r="G24" s="70"/>
      <c r="H24" s="70"/>
      <c r="I24" s="71"/>
      <c r="J24" s="72">
        <f>SUM(J16:J23)</f>
        <v>344417</v>
      </c>
    </row>
    <row r="25" spans="1:10" ht="13.5" thickBot="1" x14ac:dyDescent="0.25"/>
    <row r="26" spans="1:10" ht="13.5" thickBot="1" x14ac:dyDescent="0.25">
      <c r="A26" s="1872" t="s">
        <v>949</v>
      </c>
      <c r="B26" s="1873"/>
      <c r="C26" s="1873"/>
      <c r="D26" s="1873"/>
      <c r="E26" s="1874"/>
    </row>
    <row r="27" spans="1:10" ht="13.5" thickBot="1" x14ac:dyDescent="0.25">
      <c r="A27" s="58" t="s">
        <v>930</v>
      </c>
      <c r="B27" s="59" t="s">
        <v>931</v>
      </c>
      <c r="C27" s="59" t="s">
        <v>932</v>
      </c>
      <c r="D27" s="59" t="s">
        <v>933</v>
      </c>
      <c r="E27" s="60" t="s">
        <v>934</v>
      </c>
    </row>
    <row r="28" spans="1:10" x14ac:dyDescent="0.2">
      <c r="A28" s="109" t="s">
        <v>935</v>
      </c>
      <c r="B28" s="110" t="s">
        <v>936</v>
      </c>
      <c r="C28" s="111">
        <v>408</v>
      </c>
      <c r="D28" s="112">
        <f t="shared" ref="D28:D33" si="2">+D16</f>
        <v>550</v>
      </c>
      <c r="E28" s="113">
        <f t="shared" ref="E28:E35" si="3">ROUND(C28*D28,0)</f>
        <v>224400</v>
      </c>
    </row>
    <row r="29" spans="1:10" x14ac:dyDescent="0.2">
      <c r="A29" s="100" t="s">
        <v>943</v>
      </c>
      <c r="B29" s="105" t="s">
        <v>938</v>
      </c>
      <c r="C29" s="106">
        <v>0.41</v>
      </c>
      <c r="D29" s="107">
        <f t="shared" si="2"/>
        <v>54000</v>
      </c>
      <c r="E29" s="108">
        <f t="shared" si="3"/>
        <v>22140</v>
      </c>
    </row>
    <row r="30" spans="1:10" x14ac:dyDescent="0.2">
      <c r="A30" s="100" t="s">
        <v>944</v>
      </c>
      <c r="B30" s="105" t="s">
        <v>938</v>
      </c>
      <c r="C30" s="106">
        <v>0.8</v>
      </c>
      <c r="D30" s="107">
        <f t="shared" si="2"/>
        <v>60000</v>
      </c>
      <c r="E30" s="108">
        <f t="shared" si="3"/>
        <v>48000</v>
      </c>
    </row>
    <row r="31" spans="1:10" x14ac:dyDescent="0.2">
      <c r="A31" s="1" t="s">
        <v>940</v>
      </c>
      <c r="B31" s="77" t="s">
        <v>938</v>
      </c>
      <c r="C31" s="78">
        <v>0.17</v>
      </c>
      <c r="D31" s="79">
        <f t="shared" si="2"/>
        <v>1065</v>
      </c>
      <c r="E31" s="80">
        <f t="shared" si="3"/>
        <v>181</v>
      </c>
    </row>
    <row r="32" spans="1:10" x14ac:dyDescent="0.2">
      <c r="A32" s="1" t="s">
        <v>945</v>
      </c>
      <c r="B32" s="77" t="s">
        <v>914</v>
      </c>
      <c r="C32" s="78">
        <v>0.16</v>
      </c>
      <c r="D32" s="79">
        <f>+'Análisis Mano de Obra'!F59</f>
        <v>198215.5</v>
      </c>
      <c r="E32" s="80">
        <f t="shared" si="3"/>
        <v>31714</v>
      </c>
    </row>
    <row r="33" spans="1:5" x14ac:dyDescent="0.2">
      <c r="A33" s="1" t="s">
        <v>946</v>
      </c>
      <c r="B33" s="77" t="s">
        <v>914</v>
      </c>
      <c r="C33" s="78">
        <v>0.16</v>
      </c>
      <c r="D33" s="79">
        <f t="shared" si="2"/>
        <v>27839.999999999996</v>
      </c>
      <c r="E33" s="80">
        <f t="shared" si="3"/>
        <v>4454</v>
      </c>
    </row>
    <row r="34" spans="1:5" x14ac:dyDescent="0.2">
      <c r="A34" s="1" t="s">
        <v>947</v>
      </c>
      <c r="B34" s="77" t="s">
        <v>913</v>
      </c>
      <c r="C34" s="78">
        <v>1</v>
      </c>
      <c r="D34" s="79">
        <v>10000</v>
      </c>
      <c r="E34" s="80">
        <f t="shared" si="3"/>
        <v>10000</v>
      </c>
    </row>
    <row r="35" spans="1:5" ht="13.5" thickBot="1" x14ac:dyDescent="0.25">
      <c r="A35" s="1" t="s">
        <v>948</v>
      </c>
      <c r="B35" s="81" t="s">
        <v>913</v>
      </c>
      <c r="C35" s="82">
        <v>1</v>
      </c>
      <c r="D35" s="83">
        <v>1500</v>
      </c>
      <c r="E35" s="80">
        <f t="shared" si="3"/>
        <v>1500</v>
      </c>
    </row>
    <row r="36" spans="1:5" ht="13.5" thickBot="1" x14ac:dyDescent="0.25">
      <c r="A36" s="69" t="s">
        <v>941</v>
      </c>
      <c r="B36" s="70"/>
      <c r="C36" s="70"/>
      <c r="D36" s="71"/>
      <c r="E36" s="72">
        <f>SUM(E28:E35)</f>
        <v>342389</v>
      </c>
    </row>
    <row r="37" spans="1:5" ht="13.5" thickBot="1" x14ac:dyDescent="0.25"/>
    <row r="38" spans="1:5" ht="13.5" thickBot="1" x14ac:dyDescent="0.25">
      <c r="A38" s="1872" t="s">
        <v>950</v>
      </c>
      <c r="B38" s="1873"/>
      <c r="C38" s="1873"/>
      <c r="D38" s="1873"/>
      <c r="E38" s="1874"/>
    </row>
    <row r="39" spans="1:5" ht="13.5" thickBot="1" x14ac:dyDescent="0.25">
      <c r="A39" s="58" t="s">
        <v>930</v>
      </c>
      <c r="B39" s="59" t="s">
        <v>931</v>
      </c>
      <c r="C39" s="59" t="s">
        <v>932</v>
      </c>
      <c r="D39" s="59" t="s">
        <v>933</v>
      </c>
      <c r="E39" s="60" t="s">
        <v>934</v>
      </c>
    </row>
    <row r="40" spans="1:5" x14ac:dyDescent="0.2">
      <c r="A40" s="84" t="s">
        <v>935</v>
      </c>
      <c r="B40" s="85" t="s">
        <v>936</v>
      </c>
      <c r="C40" s="86">
        <v>350</v>
      </c>
      <c r="D40" s="64">
        <f>+D8</f>
        <v>550</v>
      </c>
      <c r="E40" s="65">
        <f>ROUND(C40*D40,0)</f>
        <v>192500</v>
      </c>
    </row>
    <row r="41" spans="1:5" x14ac:dyDescent="0.2">
      <c r="A41" s="114" t="s">
        <v>937</v>
      </c>
      <c r="B41" s="115" t="s">
        <v>938</v>
      </c>
      <c r="C41" s="116">
        <v>0.56000000000000005</v>
      </c>
      <c r="D41" s="103">
        <f>+D9</f>
        <v>50000</v>
      </c>
      <c r="E41" s="104">
        <f>ROUND(C41*D41,0)</f>
        <v>28000</v>
      </c>
    </row>
    <row r="42" spans="1:5" x14ac:dyDescent="0.2">
      <c r="A42" s="114" t="s">
        <v>939</v>
      </c>
      <c r="B42" s="115" t="s">
        <v>938</v>
      </c>
      <c r="C42" s="116">
        <v>0.88</v>
      </c>
      <c r="D42" s="103">
        <f>+D10</f>
        <v>50000</v>
      </c>
      <c r="E42" s="104">
        <f>ROUND(C42*D42,0)</f>
        <v>44000</v>
      </c>
    </row>
    <row r="43" spans="1:5" ht="13.5" thickBot="1" x14ac:dyDescent="0.25">
      <c r="A43" s="87" t="s">
        <v>940</v>
      </c>
      <c r="B43" s="57" t="s">
        <v>938</v>
      </c>
      <c r="C43" s="88">
        <v>0.17</v>
      </c>
      <c r="D43" s="67">
        <f>+D11</f>
        <v>1065</v>
      </c>
      <c r="E43" s="68">
        <f>ROUND(C43*D43,0)</f>
        <v>181</v>
      </c>
    </row>
    <row r="44" spans="1:5" ht="13.5" thickBot="1" x14ac:dyDescent="0.25">
      <c r="A44" s="69" t="s">
        <v>941</v>
      </c>
      <c r="B44" s="70"/>
      <c r="C44" s="70"/>
      <c r="D44" s="71"/>
      <c r="E44" s="72">
        <f>SUM(E40:E43)</f>
        <v>264681</v>
      </c>
    </row>
    <row r="46" spans="1:5" ht="13.5" thickBot="1" x14ac:dyDescent="0.25"/>
    <row r="47" spans="1:5" ht="13.5" thickBot="1" x14ac:dyDescent="0.25">
      <c r="A47" s="1872" t="s">
        <v>951</v>
      </c>
      <c r="B47" s="1873"/>
      <c r="C47" s="1873"/>
      <c r="D47" s="1873"/>
      <c r="E47" s="1874"/>
    </row>
    <row r="48" spans="1:5" ht="13.5" thickBot="1" x14ac:dyDescent="0.25">
      <c r="A48" s="58" t="s">
        <v>930</v>
      </c>
      <c r="B48" s="59" t="s">
        <v>931</v>
      </c>
      <c r="C48" s="59" t="s">
        <v>932</v>
      </c>
      <c r="D48" s="59" t="s">
        <v>933</v>
      </c>
      <c r="E48" s="60" t="s">
        <v>934</v>
      </c>
    </row>
    <row r="49" spans="1:5" x14ac:dyDescent="0.2">
      <c r="A49" s="1" t="s">
        <v>935</v>
      </c>
      <c r="B49" s="66" t="s">
        <v>936</v>
      </c>
      <c r="C49" s="5">
        <v>450</v>
      </c>
      <c r="D49" s="67">
        <f>+D8</f>
        <v>550</v>
      </c>
      <c r="E49" s="68">
        <f>ROUND(C49*D49,0)</f>
        <v>247500</v>
      </c>
    </row>
    <row r="50" spans="1:5" x14ac:dyDescent="0.2">
      <c r="A50" s="100" t="s">
        <v>937</v>
      </c>
      <c r="B50" s="101" t="s">
        <v>938</v>
      </c>
      <c r="C50" s="102">
        <v>0.56000000000000005</v>
      </c>
      <c r="D50" s="103">
        <f>+D9</f>
        <v>50000</v>
      </c>
      <c r="E50" s="104">
        <f>ROUND(C50*D50,0)</f>
        <v>28000</v>
      </c>
    </row>
    <row r="51" spans="1:5" x14ac:dyDescent="0.2">
      <c r="A51" s="100" t="s">
        <v>939</v>
      </c>
      <c r="B51" s="101" t="s">
        <v>938</v>
      </c>
      <c r="C51" s="102">
        <v>0.67</v>
      </c>
      <c r="D51" s="103">
        <f>+D10</f>
        <v>50000</v>
      </c>
      <c r="E51" s="104">
        <f>ROUND(C51*D51,0)</f>
        <v>33500</v>
      </c>
    </row>
    <row r="52" spans="1:5" ht="13.5" thickBot="1" x14ac:dyDescent="0.25">
      <c r="A52" s="1" t="s">
        <v>940</v>
      </c>
      <c r="B52" s="66" t="s">
        <v>938</v>
      </c>
      <c r="C52" s="5">
        <v>0.17</v>
      </c>
      <c r="D52" s="67">
        <f>+D11</f>
        <v>1065</v>
      </c>
      <c r="E52" s="68">
        <f>ROUND(C52*D52,0)</f>
        <v>181</v>
      </c>
    </row>
    <row r="53" spans="1:5" ht="13.5" thickBot="1" x14ac:dyDescent="0.25">
      <c r="A53" s="69" t="s">
        <v>941</v>
      </c>
      <c r="B53" s="70"/>
      <c r="C53" s="70"/>
      <c r="D53" s="71"/>
      <c r="E53" s="72">
        <f>SUM(E49:E52)</f>
        <v>309181</v>
      </c>
    </row>
    <row r="54" spans="1:5" ht="13.5" thickBot="1" x14ac:dyDescent="0.25"/>
    <row r="55" spans="1:5" ht="13.5" thickBot="1" x14ac:dyDescent="0.25">
      <c r="A55" s="1872" t="s">
        <v>952</v>
      </c>
      <c r="B55" s="1873"/>
      <c r="C55" s="1873"/>
      <c r="D55" s="1873"/>
      <c r="E55" s="1874"/>
    </row>
    <row r="56" spans="1:5" ht="13.5" thickBot="1" x14ac:dyDescent="0.25">
      <c r="A56" s="58" t="s">
        <v>930</v>
      </c>
      <c r="B56" s="59" t="s">
        <v>931</v>
      </c>
      <c r="C56" s="59" t="s">
        <v>932</v>
      </c>
      <c r="D56" s="59" t="s">
        <v>933</v>
      </c>
      <c r="E56" s="60" t="s">
        <v>934</v>
      </c>
    </row>
    <row r="57" spans="1:5" x14ac:dyDescent="0.2">
      <c r="A57" s="89" t="s">
        <v>935</v>
      </c>
      <c r="B57" s="62" t="s">
        <v>936</v>
      </c>
      <c r="C57" s="63">
        <v>230</v>
      </c>
      <c r="D57" s="64">
        <f>+D49</f>
        <v>550</v>
      </c>
      <c r="E57" s="90">
        <f>ROUND(C57*D57,0)</f>
        <v>126500</v>
      </c>
    </row>
    <row r="58" spans="1:5" x14ac:dyDescent="0.2">
      <c r="A58" s="117" t="s">
        <v>937</v>
      </c>
      <c r="B58" s="101" t="s">
        <v>938</v>
      </c>
      <c r="C58" s="102">
        <v>0.55500000000000005</v>
      </c>
      <c r="D58" s="103">
        <f>+D50</f>
        <v>50000</v>
      </c>
      <c r="E58" s="118">
        <f>ROUND(C58*D58,0)</f>
        <v>27750</v>
      </c>
    </row>
    <row r="59" spans="1:5" x14ac:dyDescent="0.2">
      <c r="A59" s="117" t="s">
        <v>939</v>
      </c>
      <c r="B59" s="101" t="s">
        <v>938</v>
      </c>
      <c r="C59" s="102">
        <v>0.92</v>
      </c>
      <c r="D59" s="103">
        <f>+D51</f>
        <v>50000</v>
      </c>
      <c r="E59" s="118">
        <f>ROUND(C59*D59,0)</f>
        <v>46000</v>
      </c>
    </row>
    <row r="60" spans="1:5" ht="13.5" thickBot="1" x14ac:dyDescent="0.25">
      <c r="A60" s="1" t="s">
        <v>940</v>
      </c>
      <c r="B60" s="66" t="s">
        <v>938</v>
      </c>
      <c r="C60" s="5">
        <v>0.13</v>
      </c>
      <c r="D60" s="67">
        <f>+D52</f>
        <v>1065</v>
      </c>
      <c r="E60" s="68">
        <f>ROUND(C60*D60,0)</f>
        <v>138</v>
      </c>
    </row>
    <row r="61" spans="1:5" ht="13.5" thickBot="1" x14ac:dyDescent="0.25">
      <c r="A61" s="69" t="s">
        <v>941</v>
      </c>
      <c r="B61" s="70"/>
      <c r="C61" s="70"/>
      <c r="D61" s="71"/>
      <c r="E61" s="72">
        <f>SUM(E57:E60)</f>
        <v>200388</v>
      </c>
    </row>
    <row r="62" spans="1:5" ht="13.5" thickBot="1" x14ac:dyDescent="0.25"/>
    <row r="63" spans="1:5" ht="13.5" thickBot="1" x14ac:dyDescent="0.25">
      <c r="A63" s="1872" t="s">
        <v>953</v>
      </c>
      <c r="B63" s="1873"/>
      <c r="C63" s="1873"/>
      <c r="D63" s="1873"/>
      <c r="E63" s="1874"/>
    </row>
    <row r="64" spans="1:5" ht="13.5" thickBot="1" x14ac:dyDescent="0.25">
      <c r="A64" s="58" t="s">
        <v>930</v>
      </c>
      <c r="B64" s="59" t="s">
        <v>931</v>
      </c>
      <c r="C64" s="59" t="s">
        <v>932</v>
      </c>
      <c r="D64" s="59" t="s">
        <v>933</v>
      </c>
      <c r="E64" s="60" t="s">
        <v>934</v>
      </c>
    </row>
    <row r="65" spans="1:5" x14ac:dyDescent="0.2">
      <c r="A65" s="89" t="s">
        <v>935</v>
      </c>
      <c r="B65" s="62" t="s">
        <v>936</v>
      </c>
      <c r="C65" s="63">
        <v>300</v>
      </c>
      <c r="D65" s="64">
        <f>+D8</f>
        <v>550</v>
      </c>
      <c r="E65" s="90">
        <f>ROUND(C65*D65,0)</f>
        <v>165000</v>
      </c>
    </row>
    <row r="66" spans="1:5" x14ac:dyDescent="0.2">
      <c r="A66" s="117" t="s">
        <v>937</v>
      </c>
      <c r="B66" s="101" t="s">
        <v>938</v>
      </c>
      <c r="C66" s="102">
        <v>0.72</v>
      </c>
      <c r="D66" s="103">
        <f>+D9</f>
        <v>50000</v>
      </c>
      <c r="E66" s="118">
        <f>ROUND(C66*D66,0)</f>
        <v>36000</v>
      </c>
    </row>
    <row r="67" spans="1:5" x14ac:dyDescent="0.2">
      <c r="A67" s="117" t="s">
        <v>939</v>
      </c>
      <c r="B67" s="101" t="s">
        <v>938</v>
      </c>
      <c r="C67" s="102">
        <v>0.72</v>
      </c>
      <c r="D67" s="103">
        <f>+D10</f>
        <v>50000</v>
      </c>
      <c r="E67" s="118">
        <f>ROUND(C67*D67,0)</f>
        <v>36000</v>
      </c>
    </row>
    <row r="68" spans="1:5" ht="13.5" thickBot="1" x14ac:dyDescent="0.25">
      <c r="A68" s="1" t="s">
        <v>940</v>
      </c>
      <c r="B68" s="66" t="s">
        <v>938</v>
      </c>
      <c r="C68" s="5">
        <v>0.14499999999999999</v>
      </c>
      <c r="D68" s="67">
        <f>+D11</f>
        <v>1065</v>
      </c>
      <c r="E68" s="68">
        <f>ROUND(C68*D68,0)</f>
        <v>154</v>
      </c>
    </row>
    <row r="69" spans="1:5" ht="13.5" thickBot="1" x14ac:dyDescent="0.25">
      <c r="A69" s="69" t="s">
        <v>941</v>
      </c>
      <c r="B69" s="70"/>
      <c r="C69" s="70"/>
      <c r="D69" s="71"/>
      <c r="E69" s="72">
        <f>SUM(E65:E68)</f>
        <v>237154</v>
      </c>
    </row>
    <row r="71" spans="1:5" ht="13.5" thickBot="1" x14ac:dyDescent="0.25"/>
    <row r="72" spans="1:5" ht="13.5" thickBot="1" x14ac:dyDescent="0.25">
      <c r="A72" s="1872" t="s">
        <v>954</v>
      </c>
      <c r="B72" s="1873"/>
      <c r="C72" s="1873"/>
      <c r="D72" s="1873"/>
      <c r="E72" s="1874"/>
    </row>
    <row r="73" spans="1:5" ht="13.5" thickBot="1" x14ac:dyDescent="0.25">
      <c r="A73" s="58" t="s">
        <v>930</v>
      </c>
      <c r="B73" s="59" t="s">
        <v>931</v>
      </c>
      <c r="C73" s="59" t="s">
        <v>932</v>
      </c>
      <c r="D73" s="59" t="s">
        <v>933</v>
      </c>
      <c r="E73" s="60" t="s">
        <v>934</v>
      </c>
    </row>
    <row r="74" spans="1:5" x14ac:dyDescent="0.2">
      <c r="A74" s="61" t="s">
        <v>955</v>
      </c>
      <c r="B74" s="62" t="s">
        <v>938</v>
      </c>
      <c r="C74" s="63">
        <v>0.75</v>
      </c>
      <c r="D74" s="64">
        <f>+E44</f>
        <v>264681</v>
      </c>
      <c r="E74" s="65">
        <f>ROUND(C74*D74,0)</f>
        <v>198511</v>
      </c>
    </row>
    <row r="75" spans="1:5" ht="13.5" thickBot="1" x14ac:dyDescent="0.25">
      <c r="A75" s="100" t="s">
        <v>956</v>
      </c>
      <c r="B75" s="101" t="s">
        <v>938</v>
      </c>
      <c r="C75" s="102">
        <v>0.5</v>
      </c>
      <c r="D75" s="103">
        <v>50000</v>
      </c>
      <c r="E75" s="104">
        <f>ROUND(C75*D75,0)</f>
        <v>25000</v>
      </c>
    </row>
    <row r="76" spans="1:5" ht="13.5" thickBot="1" x14ac:dyDescent="0.25">
      <c r="A76" s="69" t="s">
        <v>941</v>
      </c>
      <c r="B76" s="70"/>
      <c r="C76" s="70"/>
      <c r="D76" s="71"/>
      <c r="E76" s="72">
        <f>SUM(E74:E75)</f>
        <v>223511</v>
      </c>
    </row>
    <row r="77" spans="1:5" ht="13.5" thickBot="1" x14ac:dyDescent="0.25"/>
    <row r="78" spans="1:5" ht="13.5" thickBot="1" x14ac:dyDescent="0.25">
      <c r="A78" s="1872" t="s">
        <v>957</v>
      </c>
      <c r="B78" s="1873"/>
      <c r="C78" s="1873"/>
      <c r="D78" s="1873"/>
      <c r="E78" s="1874"/>
    </row>
    <row r="79" spans="1:5" ht="13.5" thickBot="1" x14ac:dyDescent="0.25">
      <c r="A79" s="58" t="s">
        <v>930</v>
      </c>
      <c r="B79" s="59" t="s">
        <v>931</v>
      </c>
      <c r="C79" s="59" t="s">
        <v>932</v>
      </c>
      <c r="D79" s="59" t="s">
        <v>933</v>
      </c>
      <c r="E79" s="60" t="s">
        <v>934</v>
      </c>
    </row>
    <row r="80" spans="1:5" x14ac:dyDescent="0.2">
      <c r="A80" s="84" t="s">
        <v>935</v>
      </c>
      <c r="B80" s="85" t="s">
        <v>936</v>
      </c>
      <c r="C80" s="86">
        <v>420</v>
      </c>
      <c r="D80" s="64">
        <f>+D65</f>
        <v>550</v>
      </c>
      <c r="E80" s="65">
        <f>ROUND(C80*D80,0)</f>
        <v>231000</v>
      </c>
    </row>
    <row r="81" spans="1:5" x14ac:dyDescent="0.2">
      <c r="A81" s="114" t="s">
        <v>937</v>
      </c>
      <c r="B81" s="115" t="s">
        <v>938</v>
      </c>
      <c r="C81" s="116">
        <v>0.67</v>
      </c>
      <c r="D81" s="103">
        <f>+D66</f>
        <v>50000</v>
      </c>
      <c r="E81" s="104">
        <f>ROUND(C81*D81,0)</f>
        <v>33500</v>
      </c>
    </row>
    <row r="82" spans="1:5" x14ac:dyDescent="0.2">
      <c r="A82" s="114" t="s">
        <v>939</v>
      </c>
      <c r="B82" s="115" t="s">
        <v>938</v>
      </c>
      <c r="C82" s="116">
        <v>0.67</v>
      </c>
      <c r="D82" s="103">
        <f>+D67</f>
        <v>50000</v>
      </c>
      <c r="E82" s="104">
        <f>ROUND(C82*D82,0)</f>
        <v>33500</v>
      </c>
    </row>
    <row r="83" spans="1:5" ht="13.5" thickBot="1" x14ac:dyDescent="0.25">
      <c r="A83" s="87" t="s">
        <v>940</v>
      </c>
      <c r="B83" s="57" t="s">
        <v>938</v>
      </c>
      <c r="C83" s="88">
        <v>0.18</v>
      </c>
      <c r="D83" s="67">
        <f>+D68</f>
        <v>1065</v>
      </c>
      <c r="E83" s="68">
        <f>ROUND(C83*D83,0)</f>
        <v>192</v>
      </c>
    </row>
    <row r="84" spans="1:5" ht="13.5" thickBot="1" x14ac:dyDescent="0.25">
      <c r="A84" s="69" t="s">
        <v>941</v>
      </c>
      <c r="B84" s="70"/>
      <c r="C84" s="70"/>
      <c r="D84" s="71"/>
      <c r="E84" s="72">
        <f>SUM(E80:E83)</f>
        <v>298192</v>
      </c>
    </row>
    <row r="85" spans="1:5" ht="13.5" thickBot="1" x14ac:dyDescent="0.25"/>
    <row r="86" spans="1:5" ht="13.5" thickBot="1" x14ac:dyDescent="0.25">
      <c r="A86" s="1872" t="s">
        <v>958</v>
      </c>
      <c r="B86" s="1873"/>
      <c r="C86" s="1873"/>
      <c r="D86" s="1873"/>
      <c r="E86" s="1874"/>
    </row>
    <row r="87" spans="1:5" ht="13.5" thickBot="1" x14ac:dyDescent="0.25">
      <c r="A87" s="58" t="s">
        <v>930</v>
      </c>
      <c r="B87" s="59" t="s">
        <v>931</v>
      </c>
      <c r="C87" s="59" t="s">
        <v>932</v>
      </c>
      <c r="D87" s="59" t="s">
        <v>933</v>
      </c>
      <c r="E87" s="60" t="s">
        <v>934</v>
      </c>
    </row>
    <row r="88" spans="1:5" x14ac:dyDescent="0.2">
      <c r="A88" s="61" t="s">
        <v>935</v>
      </c>
      <c r="B88" s="62" t="s">
        <v>936</v>
      </c>
      <c r="C88" s="63">
        <v>454</v>
      </c>
      <c r="D88" s="64">
        <f>+D8</f>
        <v>550</v>
      </c>
      <c r="E88" s="65">
        <f>ROUND(C88*D88,0)</f>
        <v>249700</v>
      </c>
    </row>
    <row r="89" spans="1:5" x14ac:dyDescent="0.2">
      <c r="A89" s="100" t="s">
        <v>937</v>
      </c>
      <c r="B89" s="101" t="s">
        <v>938</v>
      </c>
      <c r="C89" s="102">
        <v>1.0900000000000001</v>
      </c>
      <c r="D89" s="103">
        <f>+D9</f>
        <v>50000</v>
      </c>
      <c r="E89" s="104">
        <f>ROUND(C89*D89,0)</f>
        <v>54500</v>
      </c>
    </row>
    <row r="90" spans="1:5" x14ac:dyDescent="0.2">
      <c r="A90" s="91" t="s">
        <v>940</v>
      </c>
      <c r="B90" s="92" t="s">
        <v>938</v>
      </c>
      <c r="C90" s="93">
        <v>0.19</v>
      </c>
      <c r="D90" s="94">
        <f>+D11</f>
        <v>1065</v>
      </c>
      <c r="E90" s="95">
        <f>ROUND(C90*D90,0)</f>
        <v>202</v>
      </c>
    </row>
    <row r="91" spans="1:5" ht="13.5" thickBot="1" x14ac:dyDescent="0.25">
      <c r="A91" s="96" t="s">
        <v>941</v>
      </c>
      <c r="B91" s="97"/>
      <c r="C91" s="97"/>
      <c r="D91" s="98"/>
      <c r="E91" s="99">
        <f>SUM(E88:E90)</f>
        <v>304402</v>
      </c>
    </row>
    <row r="93" spans="1:5" ht="13.5" thickBot="1" x14ac:dyDescent="0.25"/>
    <row r="94" spans="1:5" ht="13.5" thickBot="1" x14ac:dyDescent="0.25">
      <c r="A94" s="1872" t="s">
        <v>959</v>
      </c>
      <c r="B94" s="1873"/>
      <c r="C94" s="1873"/>
      <c r="D94" s="1873"/>
      <c r="E94" s="1874"/>
    </row>
    <row r="95" spans="1:5" ht="13.5" thickBot="1" x14ac:dyDescent="0.25">
      <c r="A95" s="58" t="s">
        <v>930</v>
      </c>
      <c r="B95" s="59" t="s">
        <v>931</v>
      </c>
      <c r="C95" s="59" t="s">
        <v>932</v>
      </c>
      <c r="D95" s="59" t="s">
        <v>933</v>
      </c>
      <c r="E95" s="60" t="s">
        <v>934</v>
      </c>
    </row>
    <row r="96" spans="1:5" x14ac:dyDescent="0.2">
      <c r="A96" s="61" t="s">
        <v>935</v>
      </c>
      <c r="B96" s="62" t="s">
        <v>936</v>
      </c>
      <c r="C96" s="63">
        <v>610</v>
      </c>
      <c r="D96" s="64">
        <f>+D16</f>
        <v>550</v>
      </c>
      <c r="E96" s="65">
        <f>ROUND(C96*D96,0)</f>
        <v>335500</v>
      </c>
    </row>
    <row r="97" spans="1:5" x14ac:dyDescent="0.2">
      <c r="A97" s="100" t="s">
        <v>937</v>
      </c>
      <c r="B97" s="101" t="s">
        <v>938</v>
      </c>
      <c r="C97" s="102">
        <v>0.97</v>
      </c>
      <c r="D97" s="103">
        <f>+D89</f>
        <v>50000</v>
      </c>
      <c r="E97" s="104">
        <f>ROUND(C97*D97,0)</f>
        <v>48500</v>
      </c>
    </row>
    <row r="98" spans="1:5" x14ac:dyDescent="0.2">
      <c r="A98" s="91" t="s">
        <v>940</v>
      </c>
      <c r="B98" s="92" t="s">
        <v>938</v>
      </c>
      <c r="C98" s="93">
        <v>0.19</v>
      </c>
      <c r="D98" s="94">
        <f>+D90</f>
        <v>1065</v>
      </c>
      <c r="E98" s="95">
        <f>ROUND(C98*D98,0)</f>
        <v>202</v>
      </c>
    </row>
    <row r="99" spans="1:5" ht="13.5" thickBot="1" x14ac:dyDescent="0.25">
      <c r="A99" s="96" t="s">
        <v>941</v>
      </c>
      <c r="B99" s="97"/>
      <c r="C99" s="97"/>
      <c r="D99" s="98"/>
      <c r="E99" s="99">
        <f>SUM(E96:E98)</f>
        <v>384202</v>
      </c>
    </row>
    <row r="101" spans="1:5" ht="13.5" thickBot="1" x14ac:dyDescent="0.25"/>
    <row r="102" spans="1:5" ht="13.5" thickBot="1" x14ac:dyDescent="0.25">
      <c r="A102" s="1872" t="s">
        <v>960</v>
      </c>
      <c r="B102" s="1873"/>
      <c r="C102" s="1873"/>
      <c r="D102" s="1873"/>
      <c r="E102" s="1874"/>
    </row>
    <row r="103" spans="1:5" ht="13.5" thickBot="1" x14ac:dyDescent="0.25">
      <c r="A103" s="58" t="s">
        <v>930</v>
      </c>
      <c r="B103" s="59" t="s">
        <v>931</v>
      </c>
      <c r="C103" s="59" t="s">
        <v>932</v>
      </c>
      <c r="D103" s="59" t="s">
        <v>933</v>
      </c>
      <c r="E103" s="60" t="s">
        <v>934</v>
      </c>
    </row>
    <row r="104" spans="1:5" x14ac:dyDescent="0.2">
      <c r="A104" s="61" t="s">
        <v>935</v>
      </c>
      <c r="B104" s="62" t="s">
        <v>936</v>
      </c>
      <c r="C104" s="63">
        <v>302</v>
      </c>
      <c r="D104" s="64">
        <f>+D96</f>
        <v>550</v>
      </c>
      <c r="E104" s="65">
        <f>ROUND(C104*D104,0)</f>
        <v>166100</v>
      </c>
    </row>
    <row r="105" spans="1:5" x14ac:dyDescent="0.2">
      <c r="A105" s="100" t="s">
        <v>937</v>
      </c>
      <c r="B105" s="101" t="s">
        <v>938</v>
      </c>
      <c r="C105" s="102">
        <v>1.2</v>
      </c>
      <c r="D105" s="103">
        <f>+D97</f>
        <v>50000</v>
      </c>
      <c r="E105" s="104">
        <f>ROUND(C105*D105,0)</f>
        <v>60000</v>
      </c>
    </row>
    <row r="106" spans="1:5" x14ac:dyDescent="0.2">
      <c r="A106" s="91" t="s">
        <v>940</v>
      </c>
      <c r="B106" s="92" t="s">
        <v>938</v>
      </c>
      <c r="C106" s="93">
        <v>0.16</v>
      </c>
      <c r="D106" s="94">
        <f>+D98</f>
        <v>1065</v>
      </c>
      <c r="E106" s="95">
        <f>ROUND(C106*D106,0)</f>
        <v>170</v>
      </c>
    </row>
    <row r="107" spans="1:5" ht="13.5" thickBot="1" x14ac:dyDescent="0.25">
      <c r="A107" s="96" t="s">
        <v>941</v>
      </c>
      <c r="B107" s="97"/>
      <c r="C107" s="97"/>
      <c r="D107" s="98"/>
      <c r="E107" s="99">
        <f>SUM(E104:E106)</f>
        <v>226270</v>
      </c>
    </row>
  </sheetData>
  <mergeCells count="17">
    <mergeCell ref="A86:E86"/>
    <mergeCell ref="A94:E94"/>
    <mergeCell ref="A102:E102"/>
    <mergeCell ref="A1:E1"/>
    <mergeCell ref="A2:E2"/>
    <mergeCell ref="A3:E3"/>
    <mergeCell ref="A4:E4"/>
    <mergeCell ref="A6:E6"/>
    <mergeCell ref="A14:E14"/>
    <mergeCell ref="A26:E26"/>
    <mergeCell ref="A78:E78"/>
    <mergeCell ref="F14:J14"/>
    <mergeCell ref="A47:E47"/>
    <mergeCell ref="A55:E55"/>
    <mergeCell ref="A63:E63"/>
    <mergeCell ref="A72:E72"/>
    <mergeCell ref="A38:E38"/>
  </mergeCells>
  <phoneticPr fontId="32" type="noConversion"/>
  <pageMargins left="0.75" right="0.75" top="1" bottom="1" header="0" footer="0"/>
  <pageSetup paperSize="9" scale="68" orientation="portrait" r:id="rId1"/>
  <headerFooter alignWithMargins="0"/>
  <ignoredErrors>
    <ignoredError sqref="E99 E12 E8:E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9</vt:i4>
      </vt:variant>
    </vt:vector>
  </HeadingPairs>
  <TitlesOfParts>
    <vt:vector size="27" baseType="lpstr">
      <vt:lpstr>Cantidades de obra</vt:lpstr>
      <vt:lpstr>CRONOGRAMA</vt:lpstr>
      <vt:lpstr>Presupuesto</vt:lpstr>
      <vt:lpstr> AIU OBRA CIVIL</vt:lpstr>
      <vt:lpstr>A.P.U</vt:lpstr>
      <vt:lpstr>Análisis Mano de Obra</vt:lpstr>
      <vt:lpstr>Valor Materiales</vt:lpstr>
      <vt:lpstr>resu Cnt</vt:lpstr>
      <vt:lpstr>Análisis Precios Básicos</vt:lpstr>
      <vt:lpstr>A.I.U sum</vt:lpstr>
      <vt:lpstr>Hoja13</vt:lpstr>
      <vt:lpstr>cant acued</vt:lpstr>
      <vt:lpstr>Cotas</vt:lpstr>
      <vt:lpstr>A Prestacional</vt:lpstr>
      <vt:lpstr>A Mano de Obra</vt:lpstr>
      <vt:lpstr>Hoja2</vt:lpstr>
      <vt:lpstr>A Precios Básicos</vt:lpstr>
      <vt:lpstr>Hoja1</vt:lpstr>
      <vt:lpstr>'A Mano de Obra'!Área_de_impresión</vt:lpstr>
      <vt:lpstr>A.P.U!Área_de_impresión</vt:lpstr>
      <vt:lpstr>'Análisis Mano de Obra'!Área_de_impresión</vt:lpstr>
      <vt:lpstr>'Cantidades de obra'!Área_de_impresión</vt:lpstr>
      <vt:lpstr>CRONOGRAMA!Área_de_impresión</vt:lpstr>
      <vt:lpstr>Hoja13!Área_de_impresión</vt:lpstr>
      <vt:lpstr>Presupuesto!Área_de_impresión</vt:lpstr>
      <vt:lpstr>'resu Cnt'!Área_de_impresión</vt:lpstr>
      <vt:lpstr>'Valor Materiales'!Área_de_impresión</vt:lpstr>
    </vt:vector>
  </TitlesOfParts>
  <Company>Aguas de Manizales S.A E.S.P.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lfarbelaez</dc:creator>
  <cp:lastModifiedBy>GUILLERMO ANDRES BONILLA PEÑA</cp:lastModifiedBy>
  <cp:lastPrinted>2016-12-20T01:22:40Z</cp:lastPrinted>
  <dcterms:created xsi:type="dcterms:W3CDTF">2009-05-22T15:55:35Z</dcterms:created>
  <dcterms:modified xsi:type="dcterms:W3CDTF">2017-01-17T21:24:48Z</dcterms:modified>
</cp:coreProperties>
</file>