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545" windowHeight="10140" tabRatio="886" firstSheet="1" activeTab="3"/>
  </bookViews>
  <sheets>
    <sheet name="Hoja1" sheetId="1" state="hidden" r:id="rId1"/>
    <sheet name="TarifaMT" sheetId="2" r:id="rId2"/>
    <sheet name="INFORMACION DEL FP" sheetId="3" r:id="rId3"/>
    <sheet name="PERSONAL Y OTROS" sheetId="4" r:id="rId4"/>
    <sheet name="IMPUESTOS Y VR TOTAL" sheetId="5" r:id="rId5"/>
    <sheet name="FM" sheetId="6" r:id="rId6"/>
    <sheet name="COSTEO" sheetId="7" r:id="rId7"/>
    <sheet name="AIU" sheetId="8" state="hidden" r:id="rId8"/>
    <sheet name="COSTEO TOTAL OBRA" sheetId="9" state="hidden" r:id="rId9"/>
    <sheet name="Componente minimo" sheetId="10" state="hidden" r:id="rId10"/>
    <sheet name="IPC" sheetId="11" state="hidden" r:id="rId11"/>
    <sheet name="Ensayos Laboratorio" sheetId="12" r:id="rId12"/>
    <sheet name="proyecc desembol" sheetId="13" state="hidden" r:id="rId13"/>
    <sheet name="Top_Y_Batimetria" sheetId="14" state="hidden" r:id="rId14"/>
  </sheets>
  <externalReferences>
    <externalReference r:id="rId17"/>
    <externalReference r:id="rId18"/>
    <externalReference r:id="rId19"/>
  </externalReferences>
  <definedNames>
    <definedName name="_xlfn.IFERROR" hidden="1">#NAME?</definedName>
    <definedName name="_xlnm.Print_Area" localSheetId="7">'AIU'!$A$1:$F$43</definedName>
    <definedName name="_xlnm.Print_Area" localSheetId="9">'Componente minimo'!$A$1:$E$65</definedName>
    <definedName name="_xlnm.Print_Area" localSheetId="6">'COSTEO'!$A$1:$I$116</definedName>
    <definedName name="_xlnm.Print_Area" localSheetId="8">'COSTEO TOTAL OBRA'!$A$1:$D$40</definedName>
    <definedName name="_xlnm.Print_Area" localSheetId="5">'FM'!$A$1:$E$67</definedName>
    <definedName name="_xlnm.Print_Area" localSheetId="4">'IMPUESTOS Y VR TOTAL'!$A$1:$F$84</definedName>
    <definedName name="_xlnm.Print_Area" localSheetId="2">'INFORMACION DEL FP'!$A$1:$D$30</definedName>
    <definedName name="_xlnm.Print_Area" localSheetId="3">'PERSONAL Y OTROS'!$A$1:$P$139</definedName>
    <definedName name="_xlnm.Print_Area" localSheetId="12">'proyecc desembol'!$B$5:$P$27</definedName>
    <definedName name="_xlnm.Print_Area" localSheetId="1">'TarifaMT'!$A$1:$K$36</definedName>
    <definedName name="ATenerEnCuenta">'IMPUESTOS Y VR TOTAL'!$B$66:$E$83</definedName>
    <definedName name="Calidad">'PERSONAL Y OTROS'!$P$53</definedName>
    <definedName name="Campamento">'PERSONAL Y OTROS'!$P$124</definedName>
    <definedName name="cc">'[2]PERSONAL'!$D$8</definedName>
    <definedName name="CdadCalidad">'PERSONAL Y OTROS'!$B$54:$B$62</definedName>
    <definedName name="CdadCalidades">'PERSONAL Y OTROS'!$C$53</definedName>
    <definedName name="CdadNoFactura">'PERSONAL Y OTROS'!$B$47:$B$51</definedName>
    <definedName name="CdadNoFacturables">'PERSONAL Y OTROS'!$C$46</definedName>
    <definedName name="CdadProfesional">'PERSONAL Y OTROS'!$B$14:$B$32</definedName>
    <definedName name="CdadProfesionales">'PERSONAL Y OTROS'!$C$13</definedName>
    <definedName name="CdadTecnico">'PERSONAL Y OTROS'!$B$35:$B$44</definedName>
    <definedName name="CdadTecnicos">'PERSONAL Y OTROS'!$C$34</definedName>
    <definedName name="CosteoConsultoria">'IMPUESTOS Y VR TOTAL'!$F$36</definedName>
    <definedName name="CostoDirecto">'PERSONAL Y OTROS'!$O$9</definedName>
    <definedName name="CostoDirectoObra">'COSTEO TOTAL OBRA'!$D$7</definedName>
    <definedName name="CotizacionARP">'INFORMACION DEL FP'!$G$32:$J$36</definedName>
    <definedName name="DestinoConsultoria">'IMPUESTOS Y VR TOTAL'!$F$52</definedName>
    <definedName name="DestinoObra">'IMPUESTOS Y VR TOTAL'!$D$10</definedName>
    <definedName name="DifConsultoriaFM" localSheetId="9">'Componente minimo'!$E$63</definedName>
    <definedName name="DifConsultoriaFM">'FM'!$E$63</definedName>
    <definedName name="DuracionMeses">'PERSONAL Y OTROS'!$D$10</definedName>
    <definedName name="DuracionSemanas">'PERSONAL Y OTROS'!$B$10</definedName>
    <definedName name="Ensayos">'PERSONAL Y OTROS'!$P$101</definedName>
    <definedName name="Equipo">'PERSONAL Y OTROS'!$P$77</definedName>
    <definedName name="Equipos">'PERSONAL Y OTROS'!$P$77</definedName>
    <definedName name="FactorMultFinal" localSheetId="9">'Componente minimo'!$E$57</definedName>
    <definedName name="FactorMultFinal">'FM'!$E$57</definedName>
    <definedName name="FactorMultiplicaCalculado" localSheetId="9">'Componente minimo'!$D$45</definedName>
    <definedName name="FactorMultiplicaCalculado">'FM'!$D$45</definedName>
    <definedName name="GastosViajes">'PERSONAL Y OTROS'!$A$264:$A$268</definedName>
    <definedName name="HonoraProfesionales">'INFORMACION DEL FP'!$D$25</definedName>
    <definedName name="HonoraTecnicos">'INFORMACION DEL FP'!$D$27</definedName>
    <definedName name="ImpPolizasConsultoria">'IMPUESTOS Y VR TOTAL'!$E$39:$E$49</definedName>
    <definedName name="ImpPolizasObra">'IMPUESTOS Y VR TOTAL'!$E$11:$E$24</definedName>
    <definedName name="IVAConsultoria">'IMPUESTOS Y VR TOTAL'!$E$41</definedName>
    <definedName name="IVASobreUtilidad">'IMPUESTOS Y VR TOTAL'!$E$15</definedName>
    <definedName name="NoFacturable">'PERSONAL Y OTROS'!$P$46</definedName>
    <definedName name="Oficina">'PERSONAL Y OTROS'!$P$64</definedName>
    <definedName name="OrigenConsultoria">'IMPUESTOS Y VR TOTAL'!$F$51</definedName>
    <definedName name="OrigenObra">'IMPUESTOS Y VR TOTAL'!$F$27</definedName>
    <definedName name="P1_12_10">'TarifaMT'!$A$5:$M$36</definedName>
    <definedName name="PersonalProfesional">'PERSONAL Y OTROS'!$A$154:$A$183</definedName>
    <definedName name="PersonalTecnico">'PERSONAL Y OTROS'!$A$186:$A$198</definedName>
    <definedName name="PlazoEnMeses">'PERSONAL Y OTROS'!$D$10</definedName>
    <definedName name="PorcentajeUtilidad">'COSTEO TOTAL OBRA'!$B$29</definedName>
    <definedName name="PrestacionesSeguridadOtros" localSheetId="9">'Componente minimo'!$E$8:$E$22</definedName>
    <definedName name="PrestacionesSeguridadOtros">'FM'!$E$8:$E$22</definedName>
    <definedName name="Profesional">'PERSONAL Y OTROS'!$P$12</definedName>
    <definedName name="TarifaMT">'TarifaMT'!$A$5:$U$36</definedName>
    <definedName name="Tecnico">'PERSONAL Y OTROS'!$P$34</definedName>
    <definedName name="TipoCosteo">'PERSONAL Y OTROS'!$D$8</definedName>
    <definedName name="TipoCosteoNivelRiesgo">'INFORMACION DEL FP'!$L$32:$M$36</definedName>
    <definedName name="TiposCampamentos">'PERSONAL Y OTROS'!$A$271:$A$284</definedName>
    <definedName name="TiposEnsayos">'PERSONAL Y OTROS'!$A$231:$A$249</definedName>
    <definedName name="TiposEquipos">'PERSONAL Y OTROS'!$A$218:$A$228</definedName>
    <definedName name="TiposOficina">'PERSONAL Y OTROS'!$A$202:$A$209</definedName>
    <definedName name="TiposPersonalProfesional">'PERSONAL Y OTROS'!$A$154:$A$183</definedName>
    <definedName name="TiposPersonalTecnico">'PERSONAL Y OTROS'!$A$186:$A$198</definedName>
    <definedName name="TotalCalidad">'PERSONAL Y OTROS'!$O$54:$O$62</definedName>
    <definedName name="TotalCam">'PERSONAL Y OTROS'!$O$125:$O$135</definedName>
    <definedName name="TotalContratoConIva">'COSTEO TOTAL OBRA'!$D$37</definedName>
    <definedName name="TotalContratoSinIVA">'COSTEO TOTAL OBRA'!$D$33</definedName>
    <definedName name="TotalEns">'PERSONAL Y OTROS'!$O$102:$O$121</definedName>
    <definedName name="TotalEqu">'PERSONAL Y OTROS'!$O$78:$O$84</definedName>
    <definedName name="TotalImpuestosObra">'IMPUESTOS Y VR TOTAL'!$F$10</definedName>
    <definedName name="TotalNoFacturable">'PERSONAL Y OTROS'!$O$47:$O$51</definedName>
    <definedName name="TotalOfi">'PERSONAL Y OTROS'!$O$65:$O$75</definedName>
    <definedName name="TotalPaginaPersonal">'PERSONAL Y OTROS'!$O$10</definedName>
    <definedName name="TotalPro">'PERSONAL Y OTROS'!$O$14:$O$32</definedName>
    <definedName name="TotalTec">'PERSONAL Y OTROS'!$O$35:$O$44</definedName>
    <definedName name="TotalTram">'PERSONAL Y OTROS'!$O$88:$O$90</definedName>
    <definedName name="TotalVia">'PERSONAL Y OTROS'!$O$94:$O$98</definedName>
    <definedName name="Tramite">'PERSONAL Y OTROS'!$P$87</definedName>
    <definedName name="UtilidadObra">'IMPUESTOS Y VR TOTAL'!$F$7</definedName>
    <definedName name="ValorTotConsultoria" localSheetId="9">'Componente minimo'!$E$62</definedName>
    <definedName name="ValorTotConsultoria">'FM'!$E$62</definedName>
    <definedName name="Viajes">'PERSONAL Y OTROS'!$P$93</definedName>
    <definedName name="XMesCalidades">'PERSONAL Y OTROS'!$I$63</definedName>
    <definedName name="XMesNoFacturables">'PERSONAL Y OTROS'!$I$52</definedName>
    <definedName name="XMesPersonalPromedio" localSheetId="9">'Componente minimo'!$E$8</definedName>
    <definedName name="XMesPersonalPromedio">'FM'!$E$8</definedName>
    <definedName name="XMesProfesionales">'PERSONAL Y OTROS'!$I$33</definedName>
    <definedName name="XMesTecnicos">'PERSONAL Y OTROS'!$I$45</definedName>
    <definedName name="xx">'[1]PERSONAL'!$D$10</definedName>
  </definedNames>
  <calcPr fullCalcOnLoad="1"/>
</workbook>
</file>

<file path=xl/comments2.xml><?xml version="1.0" encoding="utf-8"?>
<comments xmlns="http://schemas.openxmlformats.org/spreadsheetml/2006/main">
  <authors>
    <author>Mpiratob</author>
  </authors>
  <commentList>
    <comment ref="A4" authorId="0">
      <text>
        <r>
          <rPr>
            <b/>
            <sz val="8"/>
            <rFont val="Tahoma"/>
            <family val="2"/>
          </rPr>
          <t>Mpiratob:</t>
        </r>
        <r>
          <rPr>
            <sz val="8"/>
            <rFont val="Tahoma"/>
            <family val="2"/>
          </rPr>
          <t xml:space="preserve">
EP: Experiencia Profesional mínima
EE: Experiencia Especifica mínima</t>
        </r>
      </text>
    </comment>
    <comment ref="A11" authorId="0">
      <text>
        <r>
          <rPr>
            <b/>
            <sz val="8"/>
            <rFont val="Tahoma"/>
            <family val="2"/>
          </rPr>
          <t>Mpiratob:</t>
        </r>
        <r>
          <rPr>
            <sz val="8"/>
            <rFont val="Tahoma"/>
            <family val="2"/>
          </rPr>
          <t xml:space="preserve">
Experiencia Profesional mínima</t>
        </r>
      </text>
    </comment>
    <comment ref="A12" authorId="0">
      <text>
        <r>
          <rPr>
            <b/>
            <sz val="8"/>
            <rFont val="Tahoma"/>
            <family val="2"/>
          </rPr>
          <t>Mpiratob:</t>
        </r>
        <r>
          <rPr>
            <sz val="8"/>
            <rFont val="Tahoma"/>
            <family val="2"/>
          </rPr>
          <t xml:space="preserve">
Experiencia Profesional hasta 2 años</t>
        </r>
      </text>
    </comment>
  </commentList>
</comments>
</file>

<file path=xl/comments3.xml><?xml version="1.0" encoding="utf-8"?>
<comments xmlns="http://schemas.openxmlformats.org/spreadsheetml/2006/main">
  <authors>
    <author>jgrosso</author>
    <author>Mpiratob</author>
  </authors>
  <commentList>
    <comment ref="K37" authorId="0">
      <text>
        <r>
          <rPr>
            <b/>
            <sz val="8"/>
            <color indexed="8"/>
            <rFont val="Tahoma"/>
            <family val="2"/>
          </rPr>
          <t>cmoreno:</t>
        </r>
        <r>
          <rPr>
            <sz val="8"/>
            <color indexed="8"/>
            <rFont val="Tahoma"/>
            <family val="2"/>
          </rPr>
          <t xml:space="preserve">
El % de riesgo adoptado para la estimacion,  es el promedio entre el valor minimo y maximo establecido en el Decreto</t>
        </r>
      </text>
    </comment>
    <comment ref="A2" authorId="1">
      <text>
        <r>
          <rPr>
            <sz val="11"/>
            <rFont val="Tahoma"/>
            <family val="2"/>
          </rPr>
          <t>Escriba aquí el número de Solicitud (solo el número)</t>
        </r>
        <r>
          <rPr>
            <sz val="8"/>
            <rFont val="Tahoma"/>
            <family val="2"/>
          </rPr>
          <t xml:space="preserve">
</t>
        </r>
      </text>
    </comment>
    <comment ref="B4" authorId="1">
      <text>
        <r>
          <rPr>
            <sz val="12"/>
            <rFont val="Tahoma"/>
            <family val="2"/>
          </rPr>
          <t>Escriba el objeto del costeo a realizar</t>
        </r>
      </text>
    </comment>
    <comment ref="C21" authorId="1">
      <text>
        <r>
          <rPr>
            <sz val="12"/>
            <rFont val="Tahoma"/>
            <family val="2"/>
          </rPr>
          <t>Considerar segun la realidad social, económica y ubicación geografica del sitio</t>
        </r>
      </text>
    </comment>
    <comment ref="D26" authorId="1">
      <text>
        <r>
          <rPr>
            <sz val="12"/>
            <rFont val="Tahoma"/>
            <family val="2"/>
          </rPr>
          <t>Solo para consultoria gastos contingentes hasta el 2%</t>
        </r>
      </text>
    </comment>
    <comment ref="C30" authorId="1">
      <text>
        <r>
          <rPr>
            <sz val="12"/>
            <rFont val="Tahoma"/>
            <family val="2"/>
          </rPr>
          <t>Escriba el nombre del profesional del AEP que está realizando el costeo</t>
        </r>
      </text>
    </comment>
    <comment ref="C22" authorId="1">
      <text>
        <r>
          <rPr>
            <b/>
            <sz val="11"/>
            <rFont val="Calibri"/>
            <family val="2"/>
          </rPr>
          <t>Considerar segun la realidad social, económica y ubicación geografica del sitio</t>
        </r>
      </text>
    </comment>
  </commentList>
</comments>
</file>

<file path=xl/comments4.xml><?xml version="1.0" encoding="utf-8"?>
<comments xmlns="http://schemas.openxmlformats.org/spreadsheetml/2006/main">
  <authors>
    <author>anarvaez</author>
    <author>josorio</author>
    <author>jgrosso</author>
    <author>Lsanchez1</author>
    <author>OSCAR ALEXANDER LEAL GANTIVAR</author>
  </authors>
  <commentList>
    <comment ref="O81" authorId="0">
      <text>
        <r>
          <rPr>
            <sz val="8"/>
            <rFont val="Tahoma"/>
            <family val="2"/>
          </rPr>
          <t>Transporte</t>
        </r>
        <r>
          <rPr>
            <sz val="8"/>
            <rFont val="Tahoma"/>
            <family val="2"/>
          </rPr>
          <t xml:space="preserve">
</t>
        </r>
      </text>
    </comment>
    <comment ref="D10" authorId="1">
      <text>
        <r>
          <rPr>
            <b/>
            <sz val="8"/>
            <rFont val="Tahoma"/>
            <family val="2"/>
          </rPr>
          <t>Digite en esta casilla la duración en meses.</t>
        </r>
        <r>
          <rPr>
            <sz val="8"/>
            <rFont val="Tahoma"/>
            <family val="2"/>
          </rPr>
          <t xml:space="preserve">
</t>
        </r>
      </text>
    </comment>
    <comment ref="D95"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A34" authorId="2">
      <text>
        <r>
          <rPr>
            <sz val="8"/>
            <rFont val="Tahoma"/>
            <family val="2"/>
          </rPr>
          <t xml:space="preserve">
</t>
        </r>
        <r>
          <rPr>
            <sz val="11"/>
            <rFont val="Tahoma"/>
            <family val="2"/>
          </rPr>
          <t>Aux. Ing.    (Rango Cat .T1-T3)
Topógrafo   (Rango Cat .T2-T5)
Maestro      (Rango Cat .T3-T6)
Dibujante    (Rango Cat .T4-T6)
Cadenero 1 (Rango Cat .T5-T7)
Cadenero 2 (Rango Cat .T6-T8)
Secretaria   (Rango Cat .T4-T9)
Conductor  (Rango Cat .T8-T10</t>
        </r>
        <r>
          <rPr>
            <sz val="8"/>
            <rFont val="Tahoma"/>
            <family val="2"/>
          </rPr>
          <t>)</t>
        </r>
      </text>
    </comment>
    <comment ref="A217" authorId="2">
      <text>
        <r>
          <rPr>
            <b/>
            <sz val="8"/>
            <rFont val="Tahoma"/>
            <family val="2"/>
          </rPr>
          <t xml:space="preserve">
ESTE ES LINK DEL CONSEJO NACIONAL DE TOPOGRAFIA -COLOMBIA</t>
        </r>
        <r>
          <rPr>
            <sz val="8"/>
            <rFont val="Tahoma"/>
            <family val="2"/>
          </rPr>
          <t xml:space="preserve">
</t>
        </r>
        <r>
          <rPr>
            <sz val="12"/>
            <rFont val="Tahoma"/>
            <family val="2"/>
          </rPr>
          <t>http://www.cpnt.org/resolucion.php?id=1&amp;PHPSESSID=67138a5f51d74184bbd0b3b7d69a2210</t>
        </r>
      </text>
    </comment>
    <comment ref="B124" authorId="2">
      <text>
        <r>
          <rPr>
            <b/>
            <sz val="8"/>
            <rFont val="Tahoma"/>
            <family val="2"/>
          </rPr>
          <t>jgrosso:</t>
        </r>
        <r>
          <rPr>
            <sz val="8"/>
            <rFont val="Tahoma"/>
            <family val="2"/>
          </rPr>
          <t xml:space="preserve">
cerramiento provisional, campamento, valla e instalaciones provisionales, deben ser incluidas dentro del presupuesto general y NO dentro del AIU_ Enviado por Osca Olea</t>
        </r>
      </text>
    </comment>
    <comment ref="O75" authorId="3">
      <text>
        <r>
          <rPr>
            <b/>
            <sz val="8"/>
            <rFont val="Tahoma"/>
            <family val="2"/>
          </rPr>
          <t>Lsanchez1:</t>
        </r>
        <r>
          <rPr>
            <sz val="8"/>
            <rFont val="Tahoma"/>
            <family val="2"/>
          </rPr>
          <t xml:space="preserve">
SE COLOCA LA TARIFA DEFINIDA POR DPS PARA IMPLEMENTACION AMBIENTAL</t>
        </r>
      </text>
    </comment>
    <comment ref="O74" authorId="3">
      <text>
        <r>
          <rPr>
            <b/>
            <sz val="8"/>
            <rFont val="Tahoma"/>
            <family val="2"/>
          </rPr>
          <t>Lsanchez1:</t>
        </r>
        <r>
          <rPr>
            <sz val="8"/>
            <rFont val="Tahoma"/>
            <family val="2"/>
          </rPr>
          <t xml:space="preserve">
SE COLOCA LA TARIFA DEFINIDA POR DPS PARA IMPLEMENTACION AMBIENTAL</t>
        </r>
      </text>
    </comment>
    <comment ref="J95" authorId="4">
      <text>
        <r>
          <rPr>
            <b/>
            <sz val="9"/>
            <rFont val="Tahoma"/>
            <family val="2"/>
          </rPr>
          <t>OSCAR ALEXANDER LEAL GANTIVAR:</t>
        </r>
        <r>
          <rPr>
            <sz val="9"/>
            <rFont val="Tahoma"/>
            <family val="2"/>
          </rPr>
          <t xml:space="preserve">
ESCALA DE GASTOS FINDETER</t>
        </r>
      </text>
    </comment>
    <comment ref="D94"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D222"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 ref="D228"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List>
</comments>
</file>

<file path=xl/comments5.xml><?xml version="1.0" encoding="utf-8"?>
<comments xmlns="http://schemas.openxmlformats.org/spreadsheetml/2006/main">
  <authors>
    <author>nlopez</author>
    <author>dlopez</author>
    <author>jgrosso</author>
  </authors>
  <commentList>
    <comment ref="C13" authorId="0">
      <text>
        <r>
          <rPr>
            <sz val="10"/>
            <rFont val="Tahoma"/>
            <family val="2"/>
          </rPr>
          <t>Aplica si es obra pública</t>
        </r>
      </text>
    </comment>
    <comment ref="C70" authorId="1">
      <text>
        <r>
          <rPr>
            <b/>
            <sz val="8"/>
            <rFont val="Tahoma"/>
            <family val="2"/>
          </rPr>
          <t>dlopez:</t>
        </r>
        <r>
          <rPr>
            <sz val="8"/>
            <rFont val="Tahoma"/>
            <family val="2"/>
          </rPr>
          <t xml:space="preserve">
0,5 Año 2009
0,0 Año 2010
Si el costeo es de una adicion y el acumulado del contrato sobre pasa el valor ( 6000×UVT del año correspondiente) a partir del cual se debe pagar timbre debera considerarse  el pago el timbre</t>
        </r>
      </text>
    </comment>
    <comment ref="D10" authorId="2">
      <text>
        <r>
          <rPr>
            <sz val="10"/>
            <rFont val="Tahoma"/>
            <family val="2"/>
          </rPr>
          <t>PARA REINICIAR ITERACION DE OBRA, LLENA ESTA CASILLA CON CUALQUIER VALOR NUMERICO</t>
        </r>
      </text>
    </comment>
    <comment ref="F52" authorId="2">
      <text>
        <r>
          <rPr>
            <sz val="11"/>
            <rFont val="Tahoma"/>
            <family val="2"/>
          </rPr>
          <t>Para reiniciar iteraciones de CONSULTORIA, coloque un valor numérico. Luego de click en el botón "iterar Consulta"</t>
        </r>
      </text>
    </comment>
    <comment ref="D79" authorId="2">
      <text>
        <r>
          <rPr>
            <b/>
            <sz val="8"/>
            <rFont val="Tahoma"/>
            <family val="2"/>
          </rPr>
          <t>jgrosso:</t>
        </r>
        <r>
          <rPr>
            <sz val="8"/>
            <rFont val="Tahoma"/>
            <family val="2"/>
          </rPr>
          <t xml:space="preserve">
Verificar según Circular No. 03 del 24-08-2011</t>
        </r>
      </text>
    </comment>
    <comment ref="A46" authorId="2">
      <text>
        <r>
          <rPr>
            <sz val="8"/>
            <rFont val="Tahoma"/>
            <family val="2"/>
          </rPr>
          <t xml:space="preserve">El valor de Las garantias conformadas por los amparos Cumplimiento, Sal y Prest; y Calidad no debe ser menor a 36000 para 2009
</t>
        </r>
      </text>
    </comment>
  </commentList>
</comments>
</file>

<file path=xl/sharedStrings.xml><?xml version="1.0" encoding="utf-8"?>
<sst xmlns="http://schemas.openxmlformats.org/spreadsheetml/2006/main" count="1174" uniqueCount="808">
  <si>
    <t>TARIFAS RESOLUCIÓN MINTRANSPORTE (BASE 1998)</t>
  </si>
  <si>
    <t>CATEGORÍA</t>
  </si>
  <si>
    <t>P1 12-10</t>
  </si>
  <si>
    <t>P2 10-07</t>
  </si>
  <si>
    <t>P3 08-05</t>
  </si>
  <si>
    <t>P4 06-04</t>
  </si>
  <si>
    <t>P5 04-03</t>
  </si>
  <si>
    <t>P6 03-01</t>
  </si>
  <si>
    <t>P7 02</t>
  </si>
  <si>
    <t>P8&lt;02</t>
  </si>
  <si>
    <t>Aux. Ing.</t>
  </si>
  <si>
    <t>Topógrafo</t>
  </si>
  <si>
    <t>Maestro</t>
  </si>
  <si>
    <t>Cadenero 1</t>
  </si>
  <si>
    <t>Cadenero 2</t>
  </si>
  <si>
    <t>Obrero</t>
  </si>
  <si>
    <t>Dibujante</t>
  </si>
  <si>
    <t>Secretaria</t>
  </si>
  <si>
    <t>Conductor</t>
  </si>
  <si>
    <t>Celador</t>
  </si>
  <si>
    <t>Distanciómetro</t>
  </si>
  <si>
    <t>Eq. Topografía</t>
  </si>
  <si>
    <t>Vehículo</t>
  </si>
  <si>
    <t>Computador</t>
  </si>
  <si>
    <t>Eq. Menor</t>
  </si>
  <si>
    <t>Ensayos Laboratorio</t>
  </si>
  <si>
    <t>Pasajes Aéreos</t>
  </si>
  <si>
    <t>Alquiler Campamento</t>
  </si>
  <si>
    <t>Papelería y Varios</t>
  </si>
  <si>
    <t>Ploteado Mantequilla</t>
  </si>
  <si>
    <t>Ploteado  Bond</t>
  </si>
  <si>
    <t>Catastro Redes</t>
  </si>
  <si>
    <t>PROYECTO:</t>
  </si>
  <si>
    <t>TIPO:</t>
  </si>
  <si>
    <t>Obra</t>
  </si>
  <si>
    <t>Interventoría</t>
  </si>
  <si>
    <t>Consultoría</t>
  </si>
  <si>
    <t>ITEM</t>
  </si>
  <si>
    <t>DESCRIPCIÓN</t>
  </si>
  <si>
    <t>%</t>
  </si>
  <si>
    <t>Salario Báse</t>
  </si>
  <si>
    <t>Prestaciones Sociales</t>
  </si>
  <si>
    <t>Cesantías</t>
  </si>
  <si>
    <t>Intereses Cesantías</t>
  </si>
  <si>
    <t>Vacaciones</t>
  </si>
  <si>
    <t>Prima Servicios</t>
  </si>
  <si>
    <t>Seguridad Social</t>
  </si>
  <si>
    <t>Salud</t>
  </si>
  <si>
    <t>Pensión</t>
  </si>
  <si>
    <t>Fondo Solidaridad Pensional</t>
  </si>
  <si>
    <t>ARP</t>
  </si>
  <si>
    <t>Parafiscales</t>
  </si>
  <si>
    <t>Otros</t>
  </si>
  <si>
    <t>Prima Localización</t>
  </si>
  <si>
    <t>Seguro Vida</t>
  </si>
  <si>
    <t>FACTOR PRESTACIONAL</t>
  </si>
  <si>
    <t>PLAZO:</t>
  </si>
  <si>
    <t>SEMANAS</t>
  </si>
  <si>
    <t>MESES</t>
  </si>
  <si>
    <t>CANTIDAD</t>
  </si>
  <si>
    <t>(Hom-Sem)</t>
  </si>
  <si>
    <t>COSTO/MES</t>
  </si>
  <si>
    <t>COSTO/SEMANA</t>
  </si>
  <si>
    <t>VALOR PARCIAL</t>
  </si>
  <si>
    <t>PERSONAL</t>
  </si>
  <si>
    <t>FP</t>
  </si>
  <si>
    <t>H</t>
  </si>
  <si>
    <t>FR</t>
  </si>
  <si>
    <t>CARGO</t>
  </si>
  <si>
    <t>T1</t>
  </si>
  <si>
    <t>T2</t>
  </si>
  <si>
    <t>T3</t>
  </si>
  <si>
    <t>T4</t>
  </si>
  <si>
    <t>T5</t>
  </si>
  <si>
    <t>T6</t>
  </si>
  <si>
    <t>T7</t>
  </si>
  <si>
    <t>T8</t>
  </si>
  <si>
    <t>T9</t>
  </si>
  <si>
    <t>T10</t>
  </si>
  <si>
    <t>CODIGO</t>
  </si>
  <si>
    <t>OFICINA</t>
  </si>
  <si>
    <t>EQUIPOS-VEHICULOS-OTROS</t>
  </si>
  <si>
    <t>OBRA</t>
  </si>
  <si>
    <t>Almacenista</t>
  </si>
  <si>
    <t>Inspector</t>
  </si>
  <si>
    <t>Mensajero</t>
  </si>
  <si>
    <t xml:space="preserve">Cadenero 1 </t>
  </si>
  <si>
    <t>Pólizas</t>
  </si>
  <si>
    <t>Equipos Especiales</t>
  </si>
  <si>
    <t>Estación</t>
  </si>
  <si>
    <t>ENSAYOS</t>
  </si>
  <si>
    <t>Campamento Obra/m2</t>
  </si>
  <si>
    <t>Aparatos Sanitarios/Gl</t>
  </si>
  <si>
    <t>Prov. Teléfono/ml</t>
  </si>
  <si>
    <t>Prov. Agua/ml</t>
  </si>
  <si>
    <t>Prov. Energía/ml</t>
  </si>
  <si>
    <t>Aseo/m2</t>
  </si>
  <si>
    <t>Servicios Públiicos/mes</t>
  </si>
  <si>
    <t>Tránsito, nivel</t>
  </si>
  <si>
    <t>Derechos Agua/Gl</t>
  </si>
  <si>
    <t>Derechos Energía/Gl</t>
  </si>
  <si>
    <t>Derechos Gas/Gl</t>
  </si>
  <si>
    <t>Ind. &amp; Comercio</t>
  </si>
  <si>
    <t>Timbre/Vr Total Cto</t>
  </si>
  <si>
    <t>Renta/Utilidad</t>
  </si>
  <si>
    <t>Retención/Vr Total Cto</t>
  </si>
  <si>
    <t>IMPUESTOS-POLIZAS</t>
  </si>
  <si>
    <t>ADMINISTRACIÓN</t>
  </si>
  <si>
    <t>UTILIDAD</t>
  </si>
  <si>
    <t xml:space="preserve">IMPREVISTOS </t>
  </si>
  <si>
    <t>COSTO DIRECTO OBRA:</t>
  </si>
  <si>
    <t>COSTO DIRECTO</t>
  </si>
  <si>
    <t>UTILIDAD:</t>
  </si>
  <si>
    <t>VALOR CONTRATO:</t>
  </si>
  <si>
    <t>Aereo</t>
  </si>
  <si>
    <t>Terrestre</t>
  </si>
  <si>
    <t>Fluvial</t>
  </si>
  <si>
    <t>Otro</t>
  </si>
  <si>
    <t>Hotel</t>
  </si>
  <si>
    <t>Casilla de Verificación:</t>
  </si>
  <si>
    <t>IVA</t>
  </si>
  <si>
    <t>VALOR TOTAL CONSULTORÍA</t>
  </si>
  <si>
    <t>VALOR TOTAL OBRA</t>
  </si>
  <si>
    <t>COSTEO:</t>
  </si>
  <si>
    <t>TOTAL PÁGINA</t>
  </si>
  <si>
    <t>CAMPAMENTO Y GASTOS DE OBRA</t>
  </si>
  <si>
    <t>MES PLENO</t>
  </si>
  <si>
    <t>FPH</t>
  </si>
  <si>
    <t>GASTOS VIAJE</t>
  </si>
  <si>
    <t>Iva/Utilidad</t>
  </si>
  <si>
    <t>TOTAL AIU</t>
  </si>
  <si>
    <t>PROPONENTE:</t>
  </si>
  <si>
    <t>Código</t>
  </si>
  <si>
    <t>Descripción</t>
  </si>
  <si>
    <t>Unidad</t>
  </si>
  <si>
    <t>Cantidad</t>
  </si>
  <si>
    <t>Vr. Unitario</t>
  </si>
  <si>
    <t>Vr. Parcial</t>
  </si>
  <si>
    <t>ADMINISTRACION</t>
  </si>
  <si>
    <t>Gl</t>
  </si>
  <si>
    <t>IMPREVISTOS</t>
  </si>
  <si>
    <t>PERSONAL PROFESIONAL</t>
  </si>
  <si>
    <t>PERSONAL TÉCNICO</t>
  </si>
  <si>
    <t>Campamento (Incluye Mobiliario, Patios, Dotación, Vallas, Aseo, Servicios Públicos, Acometidas y Provisionales)</t>
  </si>
  <si>
    <t>Oficina (Incluye Software/Hardware para Obra, Sistema de Aseguramiento de Calidad, Papelería, Copias, Registros Fotográficos, Videos, Informes, Planos, Manuales de Operación y Mantenimiento, Arrendamiento, Servicios Públicos, Administración)</t>
  </si>
  <si>
    <t xml:space="preserve">Ensayos de Control de Calidad de Materiales </t>
  </si>
  <si>
    <t>Vehículos, Equipos y Herramientas (Incluye Mantenimiento)</t>
  </si>
  <si>
    <t>Gastos de Viaje</t>
  </si>
  <si>
    <t>TOTAL A.I.U.</t>
  </si>
  <si>
    <t xml:space="preserve">Otros </t>
  </si>
  <si>
    <t>Gastos Generales</t>
  </si>
  <si>
    <t>Gastos Oficina (Muebles, arrendamientos, servicios publicos, preparación propuestas, depreciación, gastos legales bancarios)</t>
  </si>
  <si>
    <t>Costo personal no facturado</t>
  </si>
  <si>
    <t>Impuestos</t>
  </si>
  <si>
    <t>Personal</t>
  </si>
  <si>
    <t>FACTOR MULTIPLICADOR CALCULADO</t>
  </si>
  <si>
    <t>CÁLCULO DEL FACTOR MULTIPLICADOR</t>
  </si>
  <si>
    <t>TOTAL INCLUIDO IMPUESTOS</t>
  </si>
  <si>
    <t>PLAZO EN MESES</t>
  </si>
  <si>
    <t>VALOR PERSONAL + OFICINA</t>
  </si>
  <si>
    <t>VALOR DEMÁS GASTOS</t>
  </si>
  <si>
    <t>VALOR ANTES DE IVA</t>
  </si>
  <si>
    <t>NN</t>
  </si>
  <si>
    <t>FM</t>
  </si>
  <si>
    <t>COSTOS PERSONAL</t>
  </si>
  <si>
    <t>COSTOS DIRECTOS</t>
  </si>
  <si>
    <t>COSTO ANTES DE IVA</t>
  </si>
  <si>
    <t>VALOR TOTAL</t>
  </si>
  <si>
    <t>DIFERENCIA DE COSTEOS</t>
  </si>
  <si>
    <t>VALOR APLICANDO FMC</t>
  </si>
  <si>
    <t>FACTOR MULTIPLICADOR FINAL</t>
  </si>
  <si>
    <t>VALOR CONSULTORÍA PARA ITERACIÓN</t>
  </si>
  <si>
    <t>Semanas</t>
  </si>
  <si>
    <t>Costo/Sem</t>
  </si>
  <si>
    <t>V. Unitario</t>
  </si>
  <si>
    <t>OBJETO:</t>
  </si>
  <si>
    <t>FONDO FINANCIERO DE PROYECTOS DE DESARROLLO - FONADE</t>
  </si>
  <si>
    <t>ANALISIS DETALLADO DEL AIU</t>
  </si>
  <si>
    <t>&lt;2000cc Gasolina+Conductor</t>
  </si>
  <si>
    <t>&gt;2000cc Gasolina+Conductor</t>
  </si>
  <si>
    <t>Variaciones Porcentuales</t>
  </si>
  <si>
    <t>Colombia, Indice de Precios al Consumidor (IPC)</t>
  </si>
  <si>
    <t>(variaciones porcentuales)</t>
  </si>
  <si>
    <t>1990 - 2005</t>
  </si>
  <si>
    <t>Base Diciembre de 1998 = 100,00</t>
  </si>
  <si>
    <t>Mes</t>
  </si>
  <si>
    <t>Enero</t>
  </si>
  <si>
    <t>Febrero</t>
  </si>
  <si>
    <t>Marzo</t>
  </si>
  <si>
    <t> 1.05</t>
  </si>
  <si>
    <t>0,77</t>
  </si>
  <si>
    <t>Abril</t>
  </si>
  <si>
    <t> 1.15</t>
  </si>
  <si>
    <t>Mayo</t>
  </si>
  <si>
    <t> 0.49</t>
  </si>
  <si>
    <t>Junio</t>
  </si>
  <si>
    <t>  -0.05</t>
  </si>
  <si>
    <t>Julio</t>
  </si>
  <si>
    <t> -0.14</t>
  </si>
  <si>
    <t>-0,03</t>
  </si>
  <si>
    <t>0,05</t>
  </si>
  <si>
    <t>Agosto</t>
  </si>
  <si>
    <t>  0.31</t>
  </si>
  <si>
    <t>0,03</t>
  </si>
  <si>
    <t>0,00</t>
  </si>
  <si>
    <t>Septiembre</t>
  </si>
  <si>
    <t>0,37</t>
  </si>
  <si>
    <t>  0.22</t>
  </si>
  <si>
    <t>0,43</t>
  </si>
  <si>
    <t>Octubre</t>
  </si>
  <si>
    <t>  0.06</t>
  </si>
  <si>
    <t>-0,01</t>
  </si>
  <si>
    <t>0,23</t>
  </si>
  <si>
    <t>Noviembre</t>
  </si>
  <si>
    <t xml:space="preserve"> 0.35 </t>
  </si>
  <si>
    <t>0,11</t>
  </si>
  <si>
    <t>Diciembre</t>
  </si>
  <si>
    <t> 0.61</t>
  </si>
  <si>
    <t>0,30</t>
  </si>
  <si>
    <t>En año corrido</t>
  </si>
  <si>
    <t>5,50</t>
  </si>
  <si>
    <t>4,78</t>
  </si>
  <si>
    <t>Fuente: DANE - IPC</t>
  </si>
  <si>
    <t>Página Anterior</t>
  </si>
  <si>
    <r>
      <t>*</t>
    </r>
    <r>
      <rPr>
        <sz val="10"/>
        <color indexed="8"/>
        <rFont val="Arial"/>
        <family val="2"/>
      </rPr>
      <t xml:space="preserve"> Entre marzo de 1994 y febrero de 1995, se realizó la Encuesta de Ingresos y Gastos en 28.000 hogares de las 23 capitales de los antiguos departamentos, para determinar cambios en los hábitos de consumo y la estructura del gasto de la población colombiana. Con los resultados de esta encuesta, bajo el trabajo de un grupo interdisciplinario de especialistas y la asesoría de la entidad estadística del Canadá, se desarrollo una nueva metodología para calcular el IPC, que es aplicada a partir de enero. Se creó una nueva canasta con una estructura de dos niveles, uno fijo y uno flexible, que permite actualizar la canasta de bienes y servicios, por cambios en el consumo final en un periodo relativamente corto (lo cual no era posible en la anterior canasta). Adem᳠la nueva canasta quedó conformada por 405 artículos (la anterior pose�195), amplió la cobertura socioeconómica a toda la población del índice e igualmente mejoró la fórmula de cálculo.</t>
    </r>
  </si>
  <si>
    <t>Profesional de apoyo</t>
  </si>
  <si>
    <t>Esp. Hidráulico</t>
  </si>
  <si>
    <t>Esp. Diseño Geom. Vías</t>
  </si>
  <si>
    <t>Esp. Electrico</t>
  </si>
  <si>
    <t>Esp. Estructural</t>
  </si>
  <si>
    <t>Esp. Ambiental</t>
  </si>
  <si>
    <t>Ing. Forestal</t>
  </si>
  <si>
    <t>Ing. Catastral</t>
  </si>
  <si>
    <t>Abogado</t>
  </si>
  <si>
    <t>Ing. Anexos Técnicos</t>
  </si>
  <si>
    <t>Esp. Geotecnia</t>
  </si>
  <si>
    <t>Análisis F-Q Total A. Tratada</t>
  </si>
  <si>
    <t>Análisis F-Q Total A. Crudas</t>
  </si>
  <si>
    <t>Coliformes Totales</t>
  </si>
  <si>
    <t>Coliformes Fecales</t>
  </si>
  <si>
    <t>Análisis A. Residuales</t>
  </si>
  <si>
    <t>Detección de Cloro Residual</t>
  </si>
  <si>
    <t>Prima Servicios (Prima Legal)</t>
  </si>
  <si>
    <t>CLASE DE</t>
  </si>
  <si>
    <t>VALOR</t>
  </si>
  <si>
    <t>Gerencia</t>
  </si>
  <si>
    <t>RIESGO PARA LA ACTIVIDAD</t>
  </si>
  <si>
    <t>MEDIO</t>
  </si>
  <si>
    <t>MÍNIMO</t>
  </si>
  <si>
    <t>MÁXIMO</t>
  </si>
  <si>
    <t>ICA</t>
  </si>
  <si>
    <t>Imp. Transac Fin (4x1000)</t>
  </si>
  <si>
    <t>Retención/Vr Total Cto Obra</t>
  </si>
  <si>
    <t>Retención/Vr Total Cto Consul</t>
  </si>
  <si>
    <t xml:space="preserve">Residente de Montaje </t>
  </si>
  <si>
    <t>Residente Obra Civil</t>
  </si>
  <si>
    <t>VALOR TOTAL CONTRATO SIN IVA</t>
  </si>
  <si>
    <t>PERSONAL TECNICO</t>
  </si>
  <si>
    <t>ACTIVIDAD</t>
  </si>
  <si>
    <t>Cumplimiento</t>
  </si>
  <si>
    <t>Salarios, Prestaciones</t>
  </si>
  <si>
    <t>Estabilidad de la Obra</t>
  </si>
  <si>
    <t>Responsabilidad Civil</t>
  </si>
  <si>
    <t>Garantía de Seriedad</t>
  </si>
  <si>
    <t>Tarifa</t>
  </si>
  <si>
    <t>Valor asegurado</t>
  </si>
  <si>
    <t>GASTOS VIAJES</t>
  </si>
  <si>
    <t>Calidad de los Servicios</t>
  </si>
  <si>
    <t>Tipo Costeo</t>
  </si>
  <si>
    <t>Nivel Riesgo</t>
  </si>
  <si>
    <t>Certificación de Calidad</t>
  </si>
  <si>
    <t>Contador</t>
  </si>
  <si>
    <t>Auditor Interno</t>
  </si>
  <si>
    <t>Aseo y Vigilancia</t>
  </si>
  <si>
    <t>Mensajeria</t>
  </si>
  <si>
    <t>Profesional Calidad</t>
  </si>
  <si>
    <t>Staff de Obra + prestaciones sociales, Cuadrilla de Administración y Personal de Vigilancia (Incluye prestaciones sociales y Seguridad Industrial)</t>
  </si>
  <si>
    <t>Asesor Juridico</t>
  </si>
  <si>
    <t>TRAMITES Y LICENCIAS</t>
  </si>
  <si>
    <t>Derechos de Autor</t>
  </si>
  <si>
    <t>Tramite de Licencia</t>
  </si>
  <si>
    <t>Costo de las Licencias</t>
  </si>
  <si>
    <t>Tramites y Licencias de Construcción</t>
  </si>
  <si>
    <t>Señalización/ml</t>
  </si>
  <si>
    <t>Señalización/m2</t>
  </si>
  <si>
    <t>A. ENSAYOS DE SUELOS, CAMPO Y LABORATORIO</t>
  </si>
  <si>
    <t>1.    CARACTERIZACIÓN DE MATERIALES</t>
  </si>
  <si>
    <t>Humedad natural</t>
  </si>
  <si>
    <t>Determinación de la humedad en suelos mediante un probador de carburo de calcio</t>
  </si>
  <si>
    <t>Peso Unitario muestras de suelos (con o sin parafina)</t>
  </si>
  <si>
    <t>Gravedad específica para suelos gravosos  (Peso Unitario)</t>
  </si>
  <si>
    <t>Gravedad específica material fino, por picnómetro</t>
  </si>
  <si>
    <t>Determinación de la densidad y la absorción del agregado fino</t>
  </si>
  <si>
    <t>Granulometría de suelos, por tamizado, con lavado</t>
  </si>
  <si>
    <t>Granulometría por hidrómetro</t>
  </si>
  <si>
    <t>Lavado sobre el tamiz No. 200, para suelos</t>
  </si>
  <si>
    <t>Límites de Atterberg, líquido y plástico</t>
  </si>
  <si>
    <t>Límites de contracción</t>
  </si>
  <si>
    <t>Desgaste en la máquina de los Angeles, con trituración</t>
  </si>
  <si>
    <t>Desgaste en la máquina de los Angeles, sin trituración</t>
  </si>
  <si>
    <t>Equivalente de arena</t>
  </si>
  <si>
    <t>Resistencia a los sulfatos, 5 ciclos (Solidez)</t>
  </si>
  <si>
    <t>Indice de caras fracturadas</t>
  </si>
  <si>
    <t>Indice de aplanamiento y alargamiento</t>
  </si>
  <si>
    <t>Determinación de la limpieza superficial de las partículas de agregado grueso</t>
  </si>
  <si>
    <t>Contenido de la arcilla</t>
  </si>
  <si>
    <t>2.    ENSAYOS DE DENSIDAD</t>
  </si>
  <si>
    <t>Ensayo de compactación Proctor (Estandard y Modificado)</t>
  </si>
  <si>
    <t>Ensayo de compactación Harvard Miniatura</t>
  </si>
  <si>
    <t xml:space="preserve">Peso Unitario en el terreno con densímetro nuclear </t>
  </si>
  <si>
    <t>Peso Unitario  en el terreno por el método de cono y arena</t>
  </si>
  <si>
    <t>Humedad del suelo y del suelo agregado en el terreno por métodos nucleares (prof. Reducida)</t>
  </si>
  <si>
    <t>3.    ENSAYOS DE RESISTENCIA</t>
  </si>
  <si>
    <t>Extracción de muestra inalterada suelo Cohesivo,(un molde)</t>
  </si>
  <si>
    <t>Penetración en moldes de CBR (por punto)</t>
  </si>
  <si>
    <t>CBR muestra inalterada (con inmersión) Incluye extracción y penetración</t>
  </si>
  <si>
    <t xml:space="preserve">CBR sobre material granular ( Método 1 )                                </t>
  </si>
  <si>
    <t xml:space="preserve">CBR sobre material cohesivo ( Método 2 ) </t>
  </si>
  <si>
    <t>CBR de campo</t>
  </si>
  <si>
    <t>Ensayo de placa</t>
  </si>
  <si>
    <t>Compresión inconfinada en material cohesivo sobre muestra inalterada</t>
  </si>
  <si>
    <t>Compresión inconfinada con penetrómetro de bolsillo</t>
  </si>
  <si>
    <t>Compresión inconfinada en núcleos de roca, peso unitario</t>
  </si>
  <si>
    <t>Ensayo de corte directo en material granular (tres puntos)</t>
  </si>
  <si>
    <t>Ensayo de corte directo en material cohesivo, consolidado, no drenado (tres puntos)</t>
  </si>
  <si>
    <t>Ensayo de corte directo en material cohesivo, consolidado, drenado (por tres puntos)</t>
  </si>
  <si>
    <t>Ensayo de corte directo en material cohesivo, no consolidado, no drenado (por tres puntos)</t>
  </si>
  <si>
    <t>Penetración con cono dinámico</t>
  </si>
  <si>
    <t>4.    ENSAYOS DE DEFORMACIÓN</t>
  </si>
  <si>
    <t>Ensayo de consolidación lenta con descarga</t>
  </si>
  <si>
    <t>Ensayo de consolidación lenta con doble ciclo de descarga</t>
  </si>
  <si>
    <t>Ensayo de consolidación rápida</t>
  </si>
  <si>
    <t>Expansión controlada en consolidómetro</t>
  </si>
  <si>
    <t>Expansión libre en consolidómetro</t>
  </si>
  <si>
    <t>Expansión libre en probeta</t>
  </si>
  <si>
    <t>5.   ENSAYOS PARA DETERMINAR OTRAS PROPIEDADES DEL SUELO</t>
  </si>
  <si>
    <t>Dispersión para suelos (Ensayo de Pin hole)</t>
  </si>
  <si>
    <t>Ph, determinación de acidez en suelos</t>
  </si>
  <si>
    <t>Coeficiente de permeabilidad en suelos constante (conductividad hidráulica)</t>
  </si>
  <si>
    <t>Coeficiente de permeabilidad en campo por el método de percolación</t>
  </si>
  <si>
    <t xml:space="preserve">Contenido de materia orgánica por quemado </t>
  </si>
  <si>
    <t>6.    MEZCLAS SUELO CEMENTO</t>
  </si>
  <si>
    <t>Diseño de mezclas de suelo - cemento (Un agregado y 3 porcentajes de cemento)</t>
  </si>
  <si>
    <t>Diseño de mezclas suelo-cemento con durabilidad</t>
  </si>
  <si>
    <t>Ensayo de Durabilidad</t>
  </si>
  <si>
    <t>Compresión en probetas de suelo-cemento</t>
  </si>
  <si>
    <t>Compactación de probetas de suelo-cemento</t>
  </si>
  <si>
    <t>Estudio de suelos</t>
  </si>
  <si>
    <t>Asesoría en geotécnia y pavimentos</t>
  </si>
  <si>
    <t>7.    PERFORACIONES</t>
  </si>
  <si>
    <t>Perforación con barreno manual Suelos blandos (Bogotá - Norte) ($/metro lineal)</t>
  </si>
  <si>
    <t>Perforación con barreno manual Suelos duros (Bogotá - Sur) ($/metro lineal)</t>
  </si>
  <si>
    <t>Perforación con barreno manual fuera de Bogotá</t>
  </si>
  <si>
    <t>Perforación con equipo mecánico percusión y lavado. Suelos blandos ($/metro lineal)   de 0 m a 10 m</t>
  </si>
  <si>
    <t>Perforación con equipo mecánico percusión y lavado. Suelos blandos ($/metro lineal)   de 10 m a 30 m</t>
  </si>
  <si>
    <t>Perforación con equipo mecánico percusión y lavado. Suelos blandos ($/metro lineal)   de 30 m a 50 m</t>
  </si>
  <si>
    <t>Perforación con equipo mecánico percusión y lavado. Suelos duros ($/metro lineal)        de 0 m  a 10 m</t>
  </si>
  <si>
    <t>Perforación con equipo mecánico percusión y lavado. Suelos duros ($/metro lineal)        de 10 m  a 30 m</t>
  </si>
  <si>
    <t>Apique en material granular, por ml de 0 m a 1,0 m  de 70x70</t>
  </si>
  <si>
    <t>Apique sondeo (Incluye ensayo de CDP) de 30x30x100</t>
  </si>
  <si>
    <t>B. ENSAYOS SOBRE ASFALTOS Y MEZCLAS ASFÁLTICAS</t>
  </si>
  <si>
    <t>1. ENSAYOS  SOBRE ASFALTOS</t>
  </si>
  <si>
    <t xml:space="preserve">Masa específica de asfalto sólido </t>
  </si>
  <si>
    <t>Ductilidad en asfaltos</t>
  </si>
  <si>
    <t>Penetración en asfaltos</t>
  </si>
  <si>
    <t>Puntos de Ignición y de Llama mediante la Copa Abierta Cleveland</t>
  </si>
  <si>
    <t>Punto de ablandamiento</t>
  </si>
  <si>
    <t>Cubrimiento de los Agregados con Materiales Asfálticos en Presencia del Agua (Stripping)</t>
  </si>
  <si>
    <t>Adherencia en Bandeja</t>
  </si>
  <si>
    <t>Ensayo pérdida por calentamiento en horno de película delgada</t>
  </si>
  <si>
    <t>Ensayo de solubilidad de materiales asfálticos en tricloroetileno</t>
  </si>
  <si>
    <t>Ensayo de viscosidad Brokfield</t>
  </si>
  <si>
    <t>Sedimentación en Tolueno</t>
  </si>
  <si>
    <t>2.   ENSAYOS SOBRE MEZCLAS ASFÁLTICAS</t>
  </si>
  <si>
    <t>Extracción manual de una muestra de pavimento asfáltico</t>
  </si>
  <si>
    <t>Extracción de núcleos de pavimento asfáltico</t>
  </si>
  <si>
    <t xml:space="preserve">Compactación de briquetas por el método Marshall  (en laboratorio) </t>
  </si>
  <si>
    <t>Peso unitario del concreto asfáltico en el terreno mediante el método nuclear</t>
  </si>
  <si>
    <t>Masa unitaria de briquetas de mezclas asfálticas</t>
  </si>
  <si>
    <t>Espesor o altura de especímenes compactados de mezclas asfálticas</t>
  </si>
  <si>
    <t>Densidad máxima o Peso específico teórico máximo (Rice)</t>
  </si>
  <si>
    <t>Contenido de asfalto con cloruro de metileno</t>
  </si>
  <si>
    <t>Contenido de asfalto</t>
  </si>
  <si>
    <t>Gradación para mezclas asfálticas</t>
  </si>
  <si>
    <t>Resistencia a la Compresión Simple de Mezclas Bituminosas</t>
  </si>
  <si>
    <t>Estabilidad Marshall (1 briqueta)</t>
  </si>
  <si>
    <t>Estabilidad Hubbard - Field ( 1 briqueta )</t>
  </si>
  <si>
    <t>Diseño de mezcla asfáltica, método Marshall</t>
  </si>
  <si>
    <t>Diseño de mezcla asfáltica, método Hubbard - Field</t>
  </si>
  <si>
    <t>Diseño de mezcla asfáltica en frio,  Marshall</t>
  </si>
  <si>
    <t>Resistencia a la deformación plástica</t>
  </si>
  <si>
    <t>Efecto del agua sobre la cohesión de mezclas asfálticas compactadas (Inmersión - compresión)</t>
  </si>
  <si>
    <t>Módulo dinámico para mezcla asfáltica</t>
  </si>
  <si>
    <t>Pulimiento acelerado</t>
  </si>
  <si>
    <t>Azul de Metileno (Norma Francesa)</t>
  </si>
  <si>
    <t>Azul de Metileno (norma Invías)</t>
  </si>
  <si>
    <t>C. ENSAYOS SOBRE CEMENTOS Y MORTEROS</t>
  </si>
  <si>
    <t>Determinación de superficie específica ( finura por Blaine )</t>
  </si>
  <si>
    <t>Finura por tamizado sobre malla No. 325</t>
  </si>
  <si>
    <t>Finura por tamizado sobre malla No. 200</t>
  </si>
  <si>
    <t>Densidad del cemento</t>
  </si>
  <si>
    <t>Tiempos de fraguado por Vicat o por agujas de Guillmore para cementos de fraguado rápido (3 horas)</t>
  </si>
  <si>
    <t>Tiempos de fraguado por Vicat o por agujas de Guillmore para cementos de fraguado lento (mayor 3 h)</t>
  </si>
  <si>
    <t>Diseño de mezclas de mortero   (con 1 agregado)</t>
  </si>
  <si>
    <t>Ensayo a compresión en cubos de mortero (elaboración serie de 9)</t>
  </si>
  <si>
    <t>Rotura por compresión de cubos de mortero</t>
  </si>
  <si>
    <t>Rotura por compresión de prismas de mortero de relleno para mampostería</t>
  </si>
  <si>
    <t>Rotura por compresión de cilindros de mortero de pega 3"</t>
  </si>
  <si>
    <t>Rotura por compresión de cilindros de Grouting 4"</t>
  </si>
  <si>
    <t>D. ENSAYOS PARA CONCRETO Y AGREGADOS</t>
  </si>
  <si>
    <t>1.   CARACTERIZACIÓN DE MATERIALES PARA USO EN CONCRETOS</t>
  </si>
  <si>
    <t>Masa unitaria, suelta o apisonada</t>
  </si>
  <si>
    <t>Densidad en arenas</t>
  </si>
  <si>
    <t>Densidad en gravas</t>
  </si>
  <si>
    <t>Contenido de materia orgánica, ensayo colorimétrico</t>
  </si>
  <si>
    <t>Contenido de materia orgánica, por quemado</t>
  </si>
  <si>
    <t>Calidad de una arena en cuanto a materia orgánica</t>
  </si>
  <si>
    <t>Granulometría de agregados hasta el tamiz 0.150 mm ( No. 100 ), Incluye lavado</t>
  </si>
  <si>
    <t>Lavado sobre el tamiz No. 200, para agregados de concreto</t>
  </si>
  <si>
    <t>Reactividad potencial de agregados sin preparar la muestra</t>
  </si>
  <si>
    <t>Resistencia a los sulfatos, 5 ciclos (solidez)</t>
  </si>
  <si>
    <t>Partículas livianas para agregados finos y gruesos.</t>
  </si>
  <si>
    <t>Grumos de arcilla y partículas deleznables</t>
  </si>
  <si>
    <t>Tiempo de fraguado del hormigón</t>
  </si>
  <si>
    <t>2.   ANALISIS QUIMICO DE MATERIALES USADOS EN CONSTRUCCIÓN</t>
  </si>
  <si>
    <t>Porosidad y densidad</t>
  </si>
  <si>
    <t>Determinación de cloruros, sulfatos, carbonatos, materia orgánica y partículas livianas</t>
  </si>
  <si>
    <t>Contenido de cemento en agregados</t>
  </si>
  <si>
    <t>Análisis químico del cemento: PPC, Residuo Insoluble, Hierro, Aluminio, Calcio, Magnesio, Sodio y Potasio</t>
  </si>
  <si>
    <t>Potencial de reactividad</t>
  </si>
  <si>
    <t>3.   DISEÑOS DE MEZCLA DE CONCRETO</t>
  </si>
  <si>
    <t>Diseño de una mezcla de hormigón para una resistencia dada</t>
  </si>
  <si>
    <t>Diseño de una mezcla de hormigón para una resistencia dada, con tres agregados</t>
  </si>
  <si>
    <t>Diseño de mezcla adicional</t>
  </si>
  <si>
    <t>4.   ENSAYOS DE COMPRESIÓN, TENSIÓN Y TRACCIÓN</t>
  </si>
  <si>
    <t>Rotura por compresión de cilindros de mortero y hormigón</t>
  </si>
  <si>
    <t>Ensayo de cilindros de 24 horas de edad curados en agua caliente</t>
  </si>
  <si>
    <t>Tensión indirecta ( Método brasilero )</t>
  </si>
  <si>
    <t>Módulo elástico en cilindros de concreto</t>
  </si>
  <si>
    <t>Módulo de rotura en vigas, con carga en los tercios</t>
  </si>
  <si>
    <t>E. EXTRACCIÓN Y ENSAYO DE NÚCLEOS DE CONCRETO</t>
  </si>
  <si>
    <t>1.   NUCLEOS</t>
  </si>
  <si>
    <t>Núcleos extracción, corte y ensayo de 15.3 cm de diámetro ( 6" x 12" )</t>
  </si>
  <si>
    <t xml:space="preserve">Núcleos extracción, corte y ensayo de 10.2 cm de diámetro ( 4" x  8" ) </t>
  </si>
  <si>
    <t>Núcleos extracción, corte y ensayo de 7.6 cm de diámetro ( 3" x  6" )</t>
  </si>
  <si>
    <t>Núcleos extracción, corte y ensayo de 5.1 cm de diámetro ( 2" x  4" )</t>
  </si>
  <si>
    <t>Núcleos extracción de paneles y ensayo de 10.2 cm de diámetro ( 4" )</t>
  </si>
  <si>
    <t>Núcleos extracción de paneles y ensayo de 7.6 cm de diámetro ( 3" )</t>
  </si>
  <si>
    <t>Núcleos extracción de paneles y ensayo de 5.1 cm de diámetro (  2")</t>
  </si>
  <si>
    <t>Corte de núcleos de concreto</t>
  </si>
  <si>
    <t>Corte y ensayo de cubos de concreto</t>
  </si>
  <si>
    <t xml:space="preserve">Corte y ensayo de núcleos </t>
  </si>
  <si>
    <t>Núcleos, ensayo de compresión</t>
  </si>
  <si>
    <t>Ensayo de carbonatación en laboratorio sobre núcleos</t>
  </si>
  <si>
    <t>Densidad y absorción en núcleos de concreto</t>
  </si>
  <si>
    <t>2.   PERFORACIONES</t>
  </si>
  <si>
    <t>Perforaciones en concreto, por centímetro de longitud</t>
  </si>
  <si>
    <t>2" por centímetro</t>
  </si>
  <si>
    <t>3" por centímetro</t>
  </si>
  <si>
    <t>4" por centímetro</t>
  </si>
  <si>
    <t>5" por centímetro</t>
  </si>
  <si>
    <t>6" por centímetro</t>
  </si>
  <si>
    <t>3.   PACHÓMETRO, ULTRASONIDO, ESCLERÓMETRO, CARBONATACIÓN, PRUEBA DE CARGA</t>
  </si>
  <si>
    <t>Localización de armaduras con pachómetro, por zona</t>
  </si>
  <si>
    <t>Regatas, ejecución para determinar recubrimientos y diámetros de hierros</t>
  </si>
  <si>
    <t>Ensayo por el sistema de ultrasonido, por elemento</t>
  </si>
  <si>
    <t>Ensayo con esclerómetro, por elemento</t>
  </si>
  <si>
    <t>Carbonatación in situ por zona</t>
  </si>
  <si>
    <t>Pruebas de carga en estructuras</t>
  </si>
  <si>
    <t xml:space="preserve"> F. ENSAYOS SOBRE ELEMENTOS ESTRUCTURALES </t>
  </si>
  <si>
    <t>1.    MAMPOSTERIA</t>
  </si>
  <si>
    <t xml:space="preserve">Rotura por compresión de bloques de cemento </t>
  </si>
  <si>
    <t>Rotura por compresión de prismas normales</t>
  </si>
  <si>
    <t>Rotura por compresión de muretes sencillos</t>
  </si>
  <si>
    <t>Rotura por compresión de muretes dobles</t>
  </si>
  <si>
    <t>Rotura por compresión de muretes triples</t>
  </si>
  <si>
    <t>Rotura por compresión en ladrillos y adoquines</t>
  </si>
  <si>
    <t>Rotura por flexión de ladrillos y adoquines en concreto</t>
  </si>
  <si>
    <t>Rotura por flexión de ladrillos y adoquines en arcilla</t>
  </si>
  <si>
    <t>Módulo de rotura de viguetas o plaquetas</t>
  </si>
  <si>
    <t>Ensayo de dimensionamiento en bloques</t>
  </si>
  <si>
    <t>Absorción de bloques, ladrillos y adoquines, en frío</t>
  </si>
  <si>
    <t xml:space="preserve">Absorción de bloques, ladrillos y adoquines, en caliente </t>
  </si>
  <si>
    <t>Eflorecencia de adoquines de arcilla</t>
  </si>
  <si>
    <t>2.   BALDOSAS</t>
  </si>
  <si>
    <t>Baldosas, compresión con elaboración de probetas</t>
  </si>
  <si>
    <t>Baldosas, flexión con elaboración de probetas</t>
  </si>
  <si>
    <t>Baldosas, absorción con elaboración de probetas</t>
  </si>
  <si>
    <t>Baldosas, compresión sin elaboración de probetas</t>
  </si>
  <si>
    <t>Baldosas, flexión sin elaboración de probetas</t>
  </si>
  <si>
    <t>Baldosas, absorción sin elaboración de probetas</t>
  </si>
  <si>
    <t>Baldosas, ensayo de impacto</t>
  </si>
  <si>
    <t>3.   BORDILLOS, CUNETAS, SARDINELES, TUBOS Y VIGUETAS</t>
  </si>
  <si>
    <t>Ensayo a flexión: bordillos, cunetas y sardineles de concreto</t>
  </si>
  <si>
    <t>Ensayo de traviesas para líneas férreas</t>
  </si>
  <si>
    <t>Ensayo de impermeabilidad en tubos de cemento</t>
  </si>
  <si>
    <t>Aplastamiento en tubos de cemento, hasta 20" de diámetro de 1,0 m</t>
  </si>
  <si>
    <t>Aplastamiento en tubos de cemento,mayores de 20" de diámetro de 1,0m</t>
  </si>
  <si>
    <t>Ensayo de absorción en tubos hormigón y gres</t>
  </si>
  <si>
    <t>Ensayo para determinar pH del concreto</t>
  </si>
  <si>
    <t>Extracción de anclajes o pernos</t>
  </si>
  <si>
    <t>Fatiga en viguetas x 2 unidades</t>
  </si>
  <si>
    <t>Fatiga en viguetas x 4 unidades</t>
  </si>
  <si>
    <t>Asesoría en productos y ensayos de materiales</t>
  </si>
  <si>
    <t xml:space="preserve">G. ENSAYOS MECÁNICOS </t>
  </si>
  <si>
    <t>1.   ELEMENTOS DE USO ESTRUCTURAL</t>
  </si>
  <si>
    <t>Ensayo a tensión en barras de acero d &gt; 5/8" (gráfico Esfuerzo Vs. Deformación)</t>
  </si>
  <si>
    <t xml:space="preserve">Caracterización del corrugado en barras de acero </t>
  </si>
  <si>
    <t>Ensayo a tensión en barra grafilada para refuerzo de concreto</t>
  </si>
  <si>
    <t>Ensayo de diámetro efectivo en barras corrugadas de acero</t>
  </si>
  <si>
    <t>Relación masa - longitud en barras de refuerzo</t>
  </si>
  <si>
    <t>Ensayo a tracción en barras de acero liso (gráfico Esfuerzo Vs Deformación)</t>
  </si>
  <si>
    <t>Ensayo de tensión en mallas de acero</t>
  </si>
  <si>
    <t>Ensayo de esfuerzo cortante en mallas</t>
  </si>
  <si>
    <t>2.   ELEMENTOS DE USO INDUSTRIAL</t>
  </si>
  <si>
    <t>Ensayo a tracción en uniones soldadas longitudinales</t>
  </si>
  <si>
    <t>Ensayo de tracción en puntillas, pernos y tornillos</t>
  </si>
  <si>
    <t>Ensayo de tracción en alambres de acero d&gt;4mm (gráfico esfuerzo-deformación</t>
  </si>
  <si>
    <t>Ensayo de tracción en alambres de acero d&lt;4mm</t>
  </si>
  <si>
    <t>Ensayo a tracción en varillas de aluminio y cobre</t>
  </si>
  <si>
    <t>Ensayo a tracción en cables de aluminio concéntrico (método por componentes)</t>
  </si>
  <si>
    <t>Ensayo de tracción en platinas de aluminio (no incluye maquinado)</t>
  </si>
  <si>
    <t>Ensayo a tracción de cable de acero de 7 hilos</t>
  </si>
  <si>
    <t>Ensayo a esfuerzo cortante en aros de PVC.</t>
  </si>
  <si>
    <t>Ensayo de tracción sobre tramos de tubería metálica y/o platinas (no incluye maquinado)</t>
  </si>
  <si>
    <t>Ensayo de doblamiento de tuberías de acero hasta 2" de diámetro</t>
  </si>
  <si>
    <t>Ensayo a tracción paralela a la fibra de Probetas de madera (no incluye maquinado)</t>
  </si>
  <si>
    <t>Ensayo a Flexión de probetas de madera (no incluye maquinado)</t>
  </si>
  <si>
    <t>Ensayo a compresión perpendicular a la fibra de probetas de madera (no incluye maquinado)</t>
  </si>
  <si>
    <t>Ensayo a compresión paralela a la fibra de probetas de madera (no incluye maquinado)</t>
  </si>
  <si>
    <t>Ensayo a flexión de probetas de material GRC</t>
  </si>
  <si>
    <t>Ensayo a tensión de materiales textiles (Urdimbre y trama)</t>
  </si>
  <si>
    <t xml:space="preserve">Ensayo a tensión de materiales plásticos </t>
  </si>
  <si>
    <t>Ensayo a tensión de probetas de caucho</t>
  </si>
  <si>
    <t>Ensayo a flexión de tachas viales</t>
  </si>
  <si>
    <t>Ensayo a compresión de tachas viales</t>
  </si>
  <si>
    <t>Ensayo a compresión de neoprenos prueba de corta duración (no incluye alquiler de prensa)</t>
  </si>
  <si>
    <t>Ensayo a compresión de neoprenos prueba de larga duración (no incluye alquiler de prensa)</t>
  </si>
  <si>
    <t>Ensayo a tensión de reatas de seguridad</t>
  </si>
  <si>
    <t>Ensayo a tensión de hebillas</t>
  </si>
  <si>
    <t>Ensayo a tensión de zunchos</t>
  </si>
  <si>
    <t>H. TRANSPORTE, ALQUILER Y DISPONIBILIDAD</t>
  </si>
  <si>
    <t>Alquiler de moldes cilíndricos para la toma de muestras de concreto, por día</t>
  </si>
  <si>
    <t>Alquiler de moldes rectangulares para viguetas, por día</t>
  </si>
  <si>
    <t>Alquiler de conos de Abrams, para el ensayo de asentamiento, por día</t>
  </si>
  <si>
    <t>Alquiler de moldes para cubos, (Tres cubos por paquete) día</t>
  </si>
  <si>
    <t>Venta de moldes de 6" de diámetro</t>
  </si>
  <si>
    <t>Venta de moldes de 4" de diámetro</t>
  </si>
  <si>
    <t>Venta de moldes de 3" de diámetro</t>
  </si>
  <si>
    <t>Venta de conos de Abrams para ensayo de asentamiento</t>
  </si>
  <si>
    <t>Venta de varilla apisonadora de 5/8" x 60 cm</t>
  </si>
  <si>
    <t>Transporte a obra en el perímetro urbano, por viaje</t>
  </si>
  <si>
    <t>Transporte a obra en el perímetro urbano, por muestra</t>
  </si>
  <si>
    <t>Viáticos y desplazamiento departamento de metrología</t>
  </si>
  <si>
    <t>Transporte de equipo y personal, fuera del perímetro urbano ($ / día)</t>
  </si>
  <si>
    <t>Disponibilidad de equipos de laboratorio, por día</t>
  </si>
  <si>
    <t>Gastos extras e imprevistos en trabajos fuera de Bogotá, por día</t>
  </si>
  <si>
    <t>Gastos de alojamiento, alimentación y viáticos, por día</t>
  </si>
  <si>
    <t>Otros gastos</t>
  </si>
  <si>
    <t>Capacidad máxima de escala  hasta 500 N</t>
  </si>
  <si>
    <t>Capacidad máxima de escala  hasta 2 kN</t>
  </si>
  <si>
    <t>Capacidad máxima de escala  hasta 5 kN</t>
  </si>
  <si>
    <t>Capacidad máxima de escala  hasta 10 kN</t>
  </si>
  <si>
    <t>Capacidad máxima de escala  hasta 20 kN</t>
  </si>
  <si>
    <t>Capacidad máxima de escala  hasta 50 kN</t>
  </si>
  <si>
    <t>Capacidad máxima de escala  hasta 100 kN</t>
  </si>
  <si>
    <t>Capacidad máxima de escala  hasta 200 kN</t>
  </si>
  <si>
    <t>Capacidad máxima de escala  hasta 500 kN</t>
  </si>
  <si>
    <t>Capacidad máxima de escala  hasta 1   MN</t>
  </si>
  <si>
    <t>J.   LABORATORIO DE MASA Y BALANZAS</t>
  </si>
  <si>
    <t>Balanzas con rango entre 0 y 300 g Clase II</t>
  </si>
  <si>
    <t>Balanzas con rango entre 0 y 300 g Clase III</t>
  </si>
  <si>
    <t>Balanzas con rango entre 301 g y 1000 g Clase II</t>
  </si>
  <si>
    <t>Balanzas con rango entre 301 g y 1000 g Clase III</t>
  </si>
  <si>
    <t>Balanza con rango entre 1001 g  y 3000 g Clase II</t>
  </si>
  <si>
    <t>Balanza con rango entre 1001 g  y 3000 g Clase III</t>
  </si>
  <si>
    <t xml:space="preserve">Balanza con rango entre 3001 g  y 10 kg Clase II    </t>
  </si>
  <si>
    <t xml:space="preserve">Balanza con rango entre 3001 g  y 10 kg Clase III    </t>
  </si>
  <si>
    <t>Balanza con rango entre 10001g y 20 kg Clase II</t>
  </si>
  <si>
    <t>Balanza con rango entre 10001g y 20 kg Clase III</t>
  </si>
  <si>
    <t>Balanza con rango entre 21 kg y 50 kg Clase III</t>
  </si>
  <si>
    <t>Balanza con rango entre 51 kg y 100 kg Clase III</t>
  </si>
  <si>
    <t>Balanza con rango entre 101 y 500 kg Clase III</t>
  </si>
  <si>
    <t>Pesas clase M1, M2 y M3 hasta 10 kg</t>
  </si>
  <si>
    <t>Pesas clase F1 y F 2 de 1 g hasta 2 kg</t>
  </si>
  <si>
    <t>Asesorías metrológicas y de calibraciones</t>
  </si>
  <si>
    <t>TARIFAS DE ENSAYOS AÑO 2007</t>
  </si>
  <si>
    <t>TARIFAS DE CALIBRACIÓN AÑO 2006</t>
  </si>
  <si>
    <t>Administración ($/mes)</t>
  </si>
  <si>
    <t>Arrendamiento ($/mes)</t>
  </si>
  <si>
    <t>Computador + Programas ($/mes)</t>
  </si>
  <si>
    <t>Muebles ($/mes)</t>
  </si>
  <si>
    <t>Papelería ($/mes)</t>
  </si>
  <si>
    <t>Ploteo de Planos ($/und)</t>
  </si>
  <si>
    <t>Servicios públicos ($/mes)</t>
  </si>
  <si>
    <t>Copias y Fotografías ($/mes)</t>
  </si>
  <si>
    <t>PERSONAL PROFESIONAL (AFECTADO POR EL FACTOR MULTIPLICADOR)</t>
  </si>
  <si>
    <t>PERSONAL ADMON NO FACTURABLE (AFECTADO POR EL FACTOR MULTIPLICADOR)</t>
  </si>
  <si>
    <t>FACTOR DE CALIDAD (AFECTADO POR EL FACTOR MULTIPLICADOR)</t>
  </si>
  <si>
    <t>OFICINA PRINCIPAL (AFECTADO POR EL FACTOR MULTIPLICADOR)</t>
  </si>
  <si>
    <t>EQUIPOS-VEHICULOS-OTROS (COSTOS DIRECTOS)</t>
  </si>
  <si>
    <t>TRAMITES Y LICENCIAS (COSTOS DIRECTOS)</t>
  </si>
  <si>
    <t>GASTOS VIAJE (COSTOS DIRECTOS)</t>
  </si>
  <si>
    <t>ENSAYOS (COSTOS DIRECTOS)</t>
  </si>
  <si>
    <t>VALOR IVA</t>
  </si>
  <si>
    <t>COSTO TOTAL OBRA</t>
  </si>
  <si>
    <t>VALOR TOTAL CONTRATO</t>
  </si>
  <si>
    <t>IMPUESTOS (SIN IVA) - POLIZAS</t>
  </si>
  <si>
    <t>Contribución Ley 1106</t>
  </si>
  <si>
    <t>Publicación Diario Oficial</t>
  </si>
  <si>
    <t>CAMPAMENTO</t>
  </si>
  <si>
    <t>Arquitecto restaurador</t>
  </si>
  <si>
    <t>Honorarios Profesionales y contingentes</t>
  </si>
  <si>
    <t>Honorarios Técnicos y contingentes</t>
  </si>
  <si>
    <t>Honorarios Profesionales-Técnicos y Contingentes</t>
  </si>
  <si>
    <t>EQUIPOS VEHICULOS Y OTROS</t>
  </si>
  <si>
    <t xml:space="preserve">Duración </t>
  </si>
  <si>
    <t>meses</t>
  </si>
  <si>
    <t xml:space="preserve">Desde </t>
  </si>
  <si>
    <t>Hasta</t>
  </si>
  <si>
    <t>Cuantia Indeterminada</t>
  </si>
  <si>
    <t>Vr Publicación</t>
  </si>
  <si>
    <t>UVT</t>
  </si>
  <si>
    <t>Gastos Contingentes</t>
  </si>
  <si>
    <t>Residente de Obra</t>
  </si>
  <si>
    <t>Asesor Calidad</t>
  </si>
  <si>
    <t>Profesional de Seguridad Industrial</t>
  </si>
  <si>
    <t>Interventoría a Obra</t>
  </si>
  <si>
    <t>PROFESIONAL QUE ELABORO EL COSTEO:</t>
  </si>
  <si>
    <t>en adelante</t>
  </si>
  <si>
    <t>AÑO 2009</t>
  </si>
  <si>
    <t>año 2008</t>
  </si>
  <si>
    <t>año 2009 ipc 7,67%</t>
  </si>
  <si>
    <t>AJUSTADO</t>
  </si>
  <si>
    <t>Cerramiento/m2</t>
  </si>
  <si>
    <t>Interventoría  a la Consultoría</t>
  </si>
  <si>
    <t xml:space="preserve">IPC </t>
  </si>
  <si>
    <t xml:space="preserve"> $ AÑO 2008</t>
  </si>
  <si>
    <t>$ AÑO 2008</t>
  </si>
  <si>
    <t>$ año 2007</t>
  </si>
  <si>
    <t xml:space="preserve"> </t>
  </si>
  <si>
    <t>AÑO 2009 (IPC 2007 Y 2008 13,80%)</t>
  </si>
  <si>
    <t>AÑO 2009 IPC 7.67%</t>
  </si>
  <si>
    <t xml:space="preserve">Aplica a consultoria (interventorias y diseños) </t>
  </si>
  <si>
    <t>Verificar el % de ICA de acuerdo al municipio</t>
  </si>
  <si>
    <t>AÑO</t>
  </si>
  <si>
    <t>INFLACION-DANE</t>
  </si>
  <si>
    <t>(%) SMMLV -MINPROTECC</t>
  </si>
  <si>
    <r>
      <t>Apique en material cohesivo, por m</t>
    </r>
    <r>
      <rPr>
        <vertAlign val="superscript"/>
        <sz val="10"/>
        <color indexed="10"/>
        <rFont val="Arial"/>
        <family val="2"/>
      </rPr>
      <t>3</t>
    </r>
  </si>
  <si>
    <r>
      <t>Ensayo a tensión en barras de acero d</t>
    </r>
    <r>
      <rPr>
        <u val="single"/>
        <sz val="8"/>
        <color indexed="10"/>
        <rFont val="Arial"/>
        <family val="2"/>
      </rPr>
      <t>&lt;</t>
    </r>
    <r>
      <rPr>
        <sz val="8"/>
        <color indexed="10"/>
        <rFont val="Arial"/>
        <family val="2"/>
      </rPr>
      <t xml:space="preserve"> 5/8" (gráfico Esfuerzo Vs. Deformación)</t>
    </r>
  </si>
  <si>
    <r>
      <t>Ensayo de doblado en barras de acero d</t>
    </r>
    <r>
      <rPr>
        <u val="single"/>
        <sz val="8"/>
        <color indexed="10"/>
        <rFont val="Arial"/>
        <family val="2"/>
      </rPr>
      <t>&lt;</t>
    </r>
    <r>
      <rPr>
        <sz val="8"/>
        <color indexed="10"/>
        <rFont val="Arial"/>
        <family val="2"/>
      </rPr>
      <t xml:space="preserve"> 1"</t>
    </r>
  </si>
  <si>
    <r>
      <t xml:space="preserve">I. LABORATORIO DE FUERZA </t>
    </r>
    <r>
      <rPr>
        <b/>
        <sz val="12"/>
        <color indexed="10"/>
        <rFont val="Arial"/>
        <family val="2"/>
      </rPr>
      <t>(Calibración Máquina de ensayo de materiales análogas, digitales o con anillo dinamométrico)</t>
    </r>
  </si>
  <si>
    <t>Describir la ruta y el personal que lo requiere</t>
  </si>
  <si>
    <t>Verificar el requerimiento de cada uno, teniendo en cuenta los impuestos de la región, la modalidad de contratación, montos de la contratacion</t>
  </si>
  <si>
    <t>INFORMACION A TENER EN CUENTA EN EL ANALISIS DEL COSTEO</t>
  </si>
  <si>
    <t>% DEDICACION</t>
  </si>
  <si>
    <t>SE DEBE DESCRIBIR LO COSTEADO</t>
  </si>
  <si>
    <t>VR. SEGÚN LA RUTA Y EPOCA DEL AÑO PARA SU USO</t>
  </si>
  <si>
    <t>Profesional Costos y Presup.</t>
  </si>
  <si>
    <t xml:space="preserve">Impuesto de timbre a partir de  </t>
  </si>
  <si>
    <t>valor contrato</t>
  </si>
  <si>
    <t>% anticipo</t>
  </si>
  <si>
    <t>Segun circular interna  Nº10</t>
  </si>
  <si>
    <t>Salud (2/3 de 12,5% paga el Empleador)</t>
  </si>
  <si>
    <t>Pensión (3/4 de 16,% paga el Empleador)</t>
  </si>
  <si>
    <t>Fondo Solidaridad Pensional (Salarios &gt; 4 SMMLV)</t>
  </si>
  <si>
    <t>ARP (Según Clase de Riesgo)</t>
  </si>
  <si>
    <t>Parafiscales (SENA 2% + ICBF 3% + CCF 4%)</t>
  </si>
  <si>
    <t xml:space="preserve">PROFESIONAL QUE ELABORO EL COSTEO:    </t>
  </si>
  <si>
    <t>PODRA AJUSTAR EL VR. SEGÚN EL SITIO Y GASTO DE TRANSPORTE DEL EQUIPO</t>
  </si>
  <si>
    <t>PODRA AJUSTAR EL VR. SEGÚN EL OBJETO A CONTRATAR</t>
  </si>
  <si>
    <t>Impuesto de Timbre aplica a  partir de $ 142,578,000  antes de IVA (Año 2009 ) / Si es adición verificar que no pase este valor, si no considerar</t>
  </si>
  <si>
    <t>Aparatos Sanit, (sum. e instal)/Gl/Unidad</t>
  </si>
  <si>
    <t xml:space="preserve">S.M.M.L.V.  </t>
  </si>
  <si>
    <t>FALTA ACTUALIZAR A PRECIOS AÑO 2009 !!</t>
  </si>
  <si>
    <t>Impuesto que aplica únicamente para contratos de obra PUBLICA ( 5% del valor total del contrato, antes de IVA)</t>
  </si>
  <si>
    <t>para año 2009</t>
  </si>
  <si>
    <t>Plazo de ejecucion del contrato (Este aseguramiento aplica generalmente a contratos de obra, posibilidad e poner en riesgo a poblacion cercana por la ejecucion del proyecto)</t>
  </si>
  <si>
    <t>NOTA: VERIFICAR ESTE % SEGÚN EL ANALISIS DE RIESGO, YA QUE ESTE % NO ES FIJO, Y SE DETERMINA EN LA MESA TRABAJO DE RIESGOS Y REQUERIMIENTOS (ABOGADO + PROF. ESTUDIOS.PREVIOS + PROF.EVALUACION + GESTOR_CONVENIO)</t>
  </si>
  <si>
    <t>obra sobre el 100% del anticipo</t>
  </si>
  <si>
    <t>ENSAYOS/ANALISIS LAB.</t>
  </si>
  <si>
    <t xml:space="preserve">     SEMANAS</t>
  </si>
  <si>
    <t>Aux. Ing. (Rango Cat .T1-T3)</t>
  </si>
  <si>
    <t>Topógrafo (Rango Cat .T2-T4)</t>
  </si>
  <si>
    <t>Maestro (Rango Cat .T3-T5)</t>
  </si>
  <si>
    <t>Dibujante (Rango Cat .T4-T6)</t>
  </si>
  <si>
    <t>Cadenero 1 (Rango Cat .T5-T7)</t>
  </si>
  <si>
    <t>Cadenero 2 (Rango Cat .T6-T8)</t>
  </si>
  <si>
    <t>Secretaria (Rango Cat .T7-T9)</t>
  </si>
  <si>
    <t>Conductor (Rango Cat .T8-T10)</t>
  </si>
  <si>
    <t xml:space="preserve"> / Aux. Ing. (Rango Cat .T1-T3) / Topógrafo (Rango Cat .T2-T4) / Maestro (Rango Cat .T3-T5) / Dibujante (Rango Cat .T4-T6) / Cadenero 1 (Rango Cat .T5-T7) / Cadenero 2 (Rango Cat .T6-T8) / Secretaria (Rango Cat .T7-T9) / Conductor (Rango Cat .T8-T10)</t>
  </si>
  <si>
    <t>Mas de 3 Ton Gasolina+Conductor+Manto.</t>
  </si>
  <si>
    <t>Resolución 001 de 1999</t>
  </si>
  <si>
    <t>TARIFAS MINIMAS DE CONTRATACION</t>
  </si>
  <si>
    <t>CNPT-Consejo Nacional Profesional de Topografía</t>
  </si>
  <si>
    <t>TECNICO Y/O TECNOLOGO EN TOPOGRAFIA</t>
  </si>
  <si>
    <t>CAT</t>
  </si>
  <si>
    <t>CAT.</t>
  </si>
  <si>
    <t>T 2.3</t>
  </si>
  <si>
    <t>T 2.2</t>
  </si>
  <si>
    <t>T 2.1</t>
  </si>
  <si>
    <t>55 &gt;HP + Eq. Batimetría</t>
  </si>
  <si>
    <r>
      <t xml:space="preserve">MOTORISTA
</t>
    </r>
    <r>
      <rPr>
        <sz val="10"/>
        <color indexed="10"/>
        <rFont val="Arial Narrow"/>
        <family val="2"/>
      </rPr>
      <t>(2009)</t>
    </r>
  </si>
  <si>
    <r>
      <t xml:space="preserve">TOTAL MES
</t>
    </r>
    <r>
      <rPr>
        <sz val="10"/>
        <color indexed="10"/>
        <rFont val="Arial Narrow"/>
        <family val="2"/>
      </rPr>
      <t>(2009)</t>
    </r>
  </si>
  <si>
    <t>Costo</t>
  </si>
  <si>
    <t>Transito</t>
  </si>
  <si>
    <t>Nivel Aut.</t>
  </si>
  <si>
    <t>Accesorios</t>
  </si>
  <si>
    <t>Estación Total</t>
  </si>
  <si>
    <t>Nivel Electrónico</t>
  </si>
  <si>
    <t>GPS 1 Frec.</t>
  </si>
  <si>
    <t>GPS 2 Frec.</t>
  </si>
  <si>
    <t>Mensual 1998</t>
  </si>
  <si>
    <t>Mensual (2009)</t>
  </si>
  <si>
    <t>55 &lt;HP + Eq. Batimetría + Motorista</t>
  </si>
  <si>
    <r>
      <t xml:space="preserve">PROMEDIO MES
</t>
    </r>
    <r>
      <rPr>
        <sz val="10"/>
        <color indexed="10"/>
        <rFont val="Arial Narrow"/>
        <family val="2"/>
      </rPr>
      <t>(2009)</t>
    </r>
  </si>
  <si>
    <r>
      <rPr>
        <sz val="10"/>
        <color indexed="63"/>
        <rFont val="Arial Narrow"/>
        <family val="2"/>
      </rPr>
      <t>Subtotal</t>
    </r>
    <r>
      <rPr>
        <sz val="8"/>
        <color indexed="63"/>
        <rFont val="Arial Narrow"/>
        <family val="2"/>
      </rPr>
      <t xml:space="preserve">
</t>
    </r>
    <r>
      <rPr>
        <sz val="8"/>
        <color indexed="10"/>
        <rFont val="Arial Narrow"/>
        <family val="2"/>
      </rPr>
      <t>(2009)</t>
    </r>
  </si>
  <si>
    <r>
      <rPr>
        <sz val="10"/>
        <color indexed="63"/>
        <rFont val="Arial Narrow"/>
        <family val="2"/>
      </rPr>
      <t>Ecosonda + Acc.</t>
    </r>
    <r>
      <rPr>
        <sz val="8"/>
        <color indexed="63"/>
        <rFont val="Arial Narrow"/>
        <family val="2"/>
      </rPr>
      <t xml:space="preserve">
(1998)</t>
    </r>
  </si>
  <si>
    <r>
      <rPr>
        <sz val="10"/>
        <color indexed="63"/>
        <rFont val="Arial Narrow"/>
        <family val="2"/>
      </rPr>
      <t>Mensual</t>
    </r>
    <r>
      <rPr>
        <sz val="8"/>
        <color indexed="63"/>
        <rFont val="Arial Narrow"/>
        <family val="2"/>
      </rPr>
      <t xml:space="preserve">
(1998)</t>
    </r>
  </si>
  <si>
    <t>Motonave 55&lt;HP +Equip. Batimetría +Motorista</t>
  </si>
  <si>
    <t>no borrar este recuadro</t>
  </si>
  <si>
    <t xml:space="preserve">Columna con </t>
  </si>
  <si>
    <t>valores</t>
  </si>
  <si>
    <t>sugeridos</t>
  </si>
  <si>
    <t>RESULT. COSTEO
 ACTUAL  =</t>
  </si>
  <si>
    <t>PERSONAL TÉCNICO-AFECTADOX FACT.MULTIPLICADOR)</t>
  </si>
  <si>
    <t>$</t>
  </si>
  <si>
    <t>valor obra</t>
  </si>
  <si>
    <t>proyeccion desembolsos</t>
  </si>
  <si>
    <t>Peso Unitario</t>
  </si>
  <si>
    <t>LOS TIPOS DE ENSAYOS MINIMOS PARA CONSULTORIA PARA EL DISEÑO DE ESTRUCTURAS Y CIMENTACION:</t>
  </si>
  <si>
    <t>Humedad Natural</t>
  </si>
  <si>
    <t>Granulometría de suelos, por tamizado, con lavado (Pasa No200)</t>
  </si>
  <si>
    <t>Compresión inconfinada</t>
  </si>
  <si>
    <t>Escribe aquí el número</t>
  </si>
  <si>
    <t>Pesos</t>
  </si>
  <si>
    <t>Centavos</t>
  </si>
  <si>
    <t>'Numero = Valor que deseamos convertir en texto</t>
  </si>
  <si>
    <t>'Moneda = es el nombre de la moneda a mostrar</t>
  </si>
  <si>
    <t>'Fraccion_Letras = Verdadero para que la fraccion de la moneda</t>
  </si>
  <si>
    <t>' tambien la convierta a letras</t>
  </si>
  <si>
    <t>'Fraccion = Es el nombre de la fraccion de la moneda</t>
  </si>
  <si>
    <t>'Texto_Inicial = Cualquier texto que quieras al principio del resultado</t>
  </si>
  <si>
    <t>'Texto_Final = Cualquier texto que quieras al finla del resultado</t>
  </si>
  <si>
    <t>'Estilo = Formato de salida</t>
  </si>
  <si>
    <t>' 1 = MAYUSCULAS</t>
  </si>
  <si>
    <t>' 2 = minusculas</t>
  </si>
  <si>
    <t>' 3 = Tipo Titulo'Los valores negativos los convierte a positivos</t>
  </si>
  <si>
    <t>Autor_ JGrosso</t>
  </si>
  <si>
    <t>#</t>
  </si>
  <si>
    <t>Ingrese datos del # de meses o desembolsos y el valor total de la obra</t>
  </si>
  <si>
    <t>&lt;---pique en este link para ir a la pagina del consejo naciopnal de topografia</t>
  </si>
  <si>
    <t>B A T I M E T R Í A</t>
  </si>
  <si>
    <t>COSTOS DIRECTOS- OFIC PPAL</t>
  </si>
  <si>
    <t>Rotura X compresión de cilindros (Por norma una muestra(8 cil.) cada 40,0 m³ o una por día si es menor cantidad)</t>
  </si>
  <si>
    <t>PROFESIONAL QUE ELABORÓ EL COSTEO:</t>
  </si>
  <si>
    <t xml:space="preserve">Intervalo de rangos </t>
  </si>
  <si>
    <t>Buen manejo Anticipo</t>
  </si>
  <si>
    <t>Vigencia + 3 años</t>
  </si>
  <si>
    <t>j_grosso</t>
  </si>
  <si>
    <t>IPC-DANE(*)</t>
  </si>
  <si>
    <t>(*) Son los usados para la proyección</t>
  </si>
  <si>
    <t>CATEGORÍA (EP-EE)</t>
  </si>
  <si>
    <t>IMPRENTA NACIONAL para 2010</t>
  </si>
  <si>
    <t>Residente de Interventoria Obra</t>
  </si>
  <si>
    <r>
      <t xml:space="preserve">Vigencia </t>
    </r>
    <r>
      <rPr>
        <b/>
        <sz val="10"/>
        <color indexed="10"/>
        <rFont val="Calibri"/>
        <family val="2"/>
      </rPr>
      <t>(meses)</t>
    </r>
  </si>
  <si>
    <r>
      <t xml:space="preserve">&lt;-- </t>
    </r>
    <r>
      <rPr>
        <sz val="11"/>
        <color indexed="60"/>
        <rFont val="Calibri"/>
        <family val="2"/>
      </rPr>
      <t>CLICK EN</t>
    </r>
    <r>
      <rPr>
        <b/>
        <sz val="11"/>
        <color indexed="60"/>
        <rFont val="Calibri"/>
        <family val="2"/>
      </rPr>
      <t xml:space="preserve"> «  +  » </t>
    </r>
    <r>
      <rPr>
        <sz val="11"/>
        <color indexed="60"/>
        <rFont val="Calibri"/>
        <family val="2"/>
      </rPr>
      <t>PARA VER TODOS LOS VALORES DE PUBLICACIÓN</t>
    </r>
  </si>
  <si>
    <r>
      <t xml:space="preserve">  &lt;-- introduzca el </t>
    </r>
    <r>
      <rPr>
        <b/>
        <sz val="9.5"/>
        <rFont val="Calibri"/>
        <family val="2"/>
      </rPr>
      <t>VALOR DEL CONTRATO ACTUAL</t>
    </r>
  </si>
  <si>
    <r>
      <t xml:space="preserve">  &lt;-- Introduzca el </t>
    </r>
    <r>
      <rPr>
        <b/>
        <sz val="9.5"/>
        <rFont val="Calibri"/>
        <family val="2"/>
      </rPr>
      <t>VALOR DEL PRESENTE COSTEO</t>
    </r>
    <r>
      <rPr>
        <sz val="9.5"/>
        <rFont val="Calibri"/>
        <family val="2"/>
      </rPr>
      <t xml:space="preserve"> </t>
    </r>
  </si>
  <si>
    <r>
      <t xml:space="preserve">   &lt;-- Introduzca el </t>
    </r>
    <r>
      <rPr>
        <b/>
        <sz val="9.5"/>
        <rFont val="Calibri"/>
        <family val="2"/>
      </rPr>
      <t xml:space="preserve">VALOR DE PUBLICACIÓN </t>
    </r>
    <r>
      <rPr>
        <sz val="9.5"/>
        <rFont val="Calibri"/>
        <family val="2"/>
      </rPr>
      <t>pagado por el contrato antes del presente costeo. (la informacion debera ser suministrad por el gestor</t>
    </r>
  </si>
  <si>
    <r>
      <t xml:space="preserve">&lt;-- </t>
    </r>
    <r>
      <rPr>
        <sz val="11"/>
        <color indexed="60"/>
        <rFont val="Calibri"/>
        <family val="2"/>
      </rPr>
      <t>CLICK EN</t>
    </r>
    <r>
      <rPr>
        <b/>
        <sz val="11"/>
        <color indexed="60"/>
        <rFont val="Calibri"/>
        <family val="2"/>
      </rPr>
      <t xml:space="preserve"> «  +  » </t>
    </r>
    <r>
      <rPr>
        <sz val="11"/>
        <color indexed="60"/>
        <rFont val="Calibri"/>
        <family val="2"/>
      </rPr>
      <t>PARA ACTIVAR</t>
    </r>
    <r>
      <rPr>
        <b/>
        <sz val="11"/>
        <color indexed="60"/>
        <rFont val="Calibri"/>
        <family val="2"/>
      </rPr>
      <t xml:space="preserve"> Calculo del Valor adicional a pagar por publicación en Imprenta Nacional por adición del contrato</t>
    </r>
  </si>
  <si>
    <r>
      <t xml:space="preserve">&lt;-- </t>
    </r>
    <r>
      <rPr>
        <sz val="11"/>
        <color indexed="60"/>
        <rFont val="Calibri"/>
        <family val="2"/>
      </rPr>
      <t>CLICK EN</t>
    </r>
    <r>
      <rPr>
        <b/>
        <sz val="11"/>
        <color indexed="60"/>
        <rFont val="Calibri"/>
        <family val="2"/>
      </rPr>
      <t xml:space="preserve"> «  +  » </t>
    </r>
    <r>
      <rPr>
        <sz val="11"/>
        <color indexed="60"/>
        <rFont val="Calibri"/>
        <family val="2"/>
      </rPr>
      <t xml:space="preserve">Para Visualizar requerimientos de la </t>
    </r>
    <r>
      <rPr>
        <b/>
        <sz val="11"/>
        <color indexed="60"/>
        <rFont val="Calibri"/>
        <family val="2"/>
      </rPr>
      <t>Resolución Interna Nº10 (Cuanto anticipo otorgar)</t>
    </r>
  </si>
  <si>
    <t>TABLA DE COTIZACIÓN ARP Dec. 1772 de 1994</t>
  </si>
  <si>
    <r>
      <t xml:space="preserve">RIESGO     </t>
    </r>
    <r>
      <rPr>
        <sz val="10"/>
        <rFont val="Calibri"/>
        <family val="2"/>
      </rPr>
      <t>Dec. 1607 de 2002</t>
    </r>
  </si>
  <si>
    <t>Análisis de Costos - Área de Estudios Previos</t>
  </si>
  <si>
    <t>PERSONAL Y OTROS</t>
  </si>
  <si>
    <t>IMPUESTOS Y VALOR TOTAL</t>
  </si>
  <si>
    <t>VALOR $/MES =</t>
  </si>
  <si>
    <t>AÑO 2010</t>
  </si>
  <si>
    <t>Tarifas del CNPT actualizadas a 2011</t>
  </si>
  <si>
    <t>AÑO 2011</t>
  </si>
  <si>
    <t>AÑO 2012</t>
  </si>
  <si>
    <t>IMPLEMENTACION PGIO-SISO</t>
  </si>
  <si>
    <t>IMPLEMENTACION PGIO-AMBIENTAL</t>
  </si>
  <si>
    <t>Vallas/m2</t>
  </si>
  <si>
    <t>Actualizado 2014</t>
  </si>
  <si>
    <t>AÑO 2013</t>
  </si>
  <si>
    <r>
      <rPr>
        <b/>
        <sz val="12"/>
        <rFont val="Calibri"/>
        <family val="2"/>
      </rPr>
      <t>FINANCIERA DE DESARROLLO TERRITORIAL - FINDETER</t>
    </r>
    <r>
      <rPr>
        <b/>
        <i/>
        <sz val="12"/>
        <rFont val="Calibri"/>
        <family val="2"/>
      </rPr>
      <t xml:space="preserve">
</t>
    </r>
    <r>
      <rPr>
        <b/>
        <i/>
        <sz val="10"/>
        <rFont val="Calibri"/>
        <family val="2"/>
      </rPr>
      <t xml:space="preserve">
</t>
    </r>
    <r>
      <rPr>
        <b/>
        <sz val="10"/>
        <rFont val="Calibri"/>
        <family val="2"/>
      </rPr>
      <t>CÁLCULO DEL FACTOR PRESTACIONAL</t>
    </r>
  </si>
  <si>
    <t>Profesional Social</t>
  </si>
  <si>
    <t>Esp. Electromecánico</t>
  </si>
  <si>
    <t>FINANCIERA DE DESARROLLO TERRITORIAL - FINDETER</t>
  </si>
  <si>
    <t>Ingeniero Quimico</t>
  </si>
  <si>
    <t>Ingeniero de Operación</t>
  </si>
  <si>
    <t>Laboratorista</t>
  </si>
  <si>
    <t>Tecnico de apoyo</t>
  </si>
  <si>
    <t>Actualizado 2015</t>
  </si>
  <si>
    <t>IPC 2015</t>
  </si>
  <si>
    <t>Antropologo</t>
  </si>
  <si>
    <t>Especialista Electrónico</t>
  </si>
  <si>
    <t>Equipo de Comunicaciones</t>
  </si>
  <si>
    <t>Especialista Juridico</t>
  </si>
  <si>
    <t>Vigencia + 4 meses</t>
  </si>
  <si>
    <t>meses ( 5años)</t>
  </si>
  <si>
    <t>Director de Interventoria</t>
  </si>
  <si>
    <t>DLOPEZ</t>
  </si>
  <si>
    <t xml:space="preserve">Bogotá- Ibague- Bogota </t>
  </si>
  <si>
    <t>INTERVENTORÍA TÉCNICA, ADMINISTRATIVA, FINANCIERA, CONTABLE, AMBIENTAL, SOCIAL  Y  JURÍDICA PARA LA EJECUCIÓN CONDICIONAL POR FASES DEL PROYECTO "MEJORAMIENTO DEL SISTEMA DE ACUEDUCTO SEGÚN PLAN MAESTRO DEL MUNICIPIO DE RONCESVALLES" - FASE III</t>
  </si>
  <si>
    <t>Ibague-Roncesvalles-Ibagué</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</si>
</sst>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0.0%"/>
    <numFmt numFmtId="185" formatCode="0.000"/>
    <numFmt numFmtId="186" formatCode="0.0000000"/>
    <numFmt numFmtId="187" formatCode="0.0000"/>
    <numFmt numFmtId="188" formatCode="_ * #,##0.000_ ;_ * \-#,##0.000_ ;_ * &quot;-&quot;??_ ;_ @_ "/>
    <numFmt numFmtId="189" formatCode="_ * #,##0.0000_ ;_ * \-#,##0.0000_ ;_ * &quot;-&quot;??_ ;_ @_ "/>
    <numFmt numFmtId="190" formatCode="_-* #,##0\ &quot;Pta&quot;_-;\-* #,##0\ &quot;Pta&quot;_-;_-* &quot;-&quot;\ &quot;Pta&quot;_-;_-@_-"/>
    <numFmt numFmtId="191" formatCode="_-* #,##0\ _P_t_a_-;\-* #,##0\ _P_t_a_-;_-* &quot;-&quot;\ _P_t_a_-;_-@_-"/>
    <numFmt numFmtId="192" formatCode="_-* #,##0.00\ _P_t_a_-;\-* #,##0.00\ _P_t_a_-;_-* &quot;-&quot;\ _P_t_a_-;_-@_-"/>
    <numFmt numFmtId="193" formatCode="[$$-80A]#,##0_ ;\-[$$-80A]#,##0\ "/>
    <numFmt numFmtId="194" formatCode="0.000%"/>
    <numFmt numFmtId="195" formatCode="#,##0.00_ ;\-#,##0.00\ "/>
    <numFmt numFmtId="196" formatCode="_ * #,##0_ ;_ * \-#,##0_ ;_ * &quot;-&quot;??_ ;_ @_ "/>
    <numFmt numFmtId="197" formatCode="_(* #,##0_);_(* \(#,##0\);_(* &quot;-&quot;??_);_(@_)"/>
    <numFmt numFmtId="198" formatCode="_ * #,##0.00_ ;_ * \-#,##0.00_ ;_ * &quot;-&quot;??_ ;_ @_ &quot;---&gt;&quot;"/>
    <numFmt numFmtId="199" formatCode="&quot; = &quot;General&quot; meses&quot;"/>
    <numFmt numFmtId="200" formatCode="#,##0.0_ ;\-#,##0.0\ "/>
    <numFmt numFmtId="201" formatCode="&quot;Valor min. de polizas Calidad o Seriedad año &quot;General"/>
    <numFmt numFmtId="202" formatCode="[$$-240A]\ #,##0"/>
    <numFmt numFmtId="203" formatCode="&quot;Solictud No. &quot;@&quot; -2009&quot;"/>
    <numFmt numFmtId="204" formatCode="0.0\ &quot; Dias&quot;"/>
    <numFmt numFmtId="205" formatCode="#,##0.00&quot; $/mes&quot;"/>
    <numFmt numFmtId="206" formatCode="&quot;   &quot;#,##0.0_ ;\-#,##0.0\ "/>
    <numFmt numFmtId="207" formatCode="#,##0_ ;\-#,##0\ "/>
    <numFmt numFmtId="208" formatCode="&quot;Solicitud No. &quot;@&quot; -2009&quot;"/>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240A]\ #,##0.00"/>
    <numFmt numFmtId="214" formatCode="&quot;Ver valor public. imprenta. Aplica para valor superior a 10 SMMLV  (PARA EL AÑO 2009 = $ &quot;_ * #,##0.00_ ;_ * \-#,##0.00_ ;_ * &quot;-&quot;??_ ;_ @_ &quot;)&quot;"/>
    <numFmt numFmtId="215" formatCode="&quot;Vr. public. Aplica para valor superior a 100 SMMLV  (PARA EL AÑO 2009 = $ &quot;_ * #,##0.00_ ;_ * \-#,##0.00_ ;_ * &quot;-&quot;??_ ;_ @_ &quot;)&quot;"/>
    <numFmt numFmtId="216" formatCode="0.0000%"/>
    <numFmt numFmtId="217" formatCode="#,##0.00_ ;\-#,##0.00\ &quot; meses&quot;"/>
    <numFmt numFmtId="218" formatCode="&quot;Solicitud No. &quot;@&quot; -2010&quot;"/>
    <numFmt numFmtId="219" formatCode="&quot;SOLICITUD N°. &quot;@&quot; -2010&quot;"/>
    <numFmt numFmtId="220" formatCode="[$-C0A]dddd\,\ dd&quot; de &quot;mmmm&quot; de &quot;yyyy"/>
    <numFmt numFmtId="221" formatCode="_ * #,##0.0_ ;_ * \-#,##0.0_ ;_ * &quot;-&quot;??_ ;_ @_ "/>
    <numFmt numFmtId="222" formatCode="_ * #,##0.00000_ ;_ * \-#,##0.00000_ ;_ * &quot;-&quot;??_ ;_ @_ "/>
    <numFmt numFmtId="223" formatCode="&quot;SOLICITUD N°. &quot;@&quot; -2011&quot;"/>
    <numFmt numFmtId="224" formatCode="&quot;SOLICITUD N°. &quot;@&quot; -2012&quot;"/>
    <numFmt numFmtId="225" formatCode="&quot;SOLICITUD N°. &quot;@&quot; -2013&quot;"/>
    <numFmt numFmtId="226" formatCode="_(* #,##0.000_);_(* \(#,##0.000\);_(* &quot;-&quot;???_);_(@_)"/>
  </numFmts>
  <fonts count="163">
    <font>
      <sz val="10"/>
      <name val="Arial Narrow"/>
      <family val="0"/>
    </font>
    <font>
      <b/>
      <sz val="10"/>
      <name val="Arial Narrow"/>
      <family val="2"/>
    </font>
    <font>
      <sz val="8"/>
      <name val="Tahoma"/>
      <family val="2"/>
    </font>
    <font>
      <b/>
      <sz val="8"/>
      <name val="Tahoma"/>
      <family val="2"/>
    </font>
    <font>
      <b/>
      <sz val="10"/>
      <color indexed="10"/>
      <name val="Arial Narrow"/>
      <family val="2"/>
    </font>
    <font>
      <u val="single"/>
      <sz val="10"/>
      <color indexed="12"/>
      <name val="Arial Narrow"/>
      <family val="2"/>
    </font>
    <font>
      <u val="single"/>
      <sz val="10"/>
      <color indexed="36"/>
      <name val="Arial Narrow"/>
      <family val="2"/>
    </font>
    <font>
      <u val="single"/>
      <sz val="10"/>
      <color indexed="12"/>
      <name val="Arial"/>
      <family val="2"/>
    </font>
    <font>
      <sz val="10"/>
      <name val="Arial"/>
      <family val="2"/>
    </font>
    <font>
      <b/>
      <sz val="12"/>
      <color indexed="54"/>
      <name val="Arial"/>
      <family val="2"/>
    </font>
    <font>
      <b/>
      <sz val="10"/>
      <color indexed="9"/>
      <name val="Arial"/>
      <family val="2"/>
    </font>
    <font>
      <sz val="10"/>
      <color indexed="8"/>
      <name val="Arial"/>
      <family val="2"/>
    </font>
    <font>
      <b/>
      <sz val="10"/>
      <color indexed="8"/>
      <name val="Arial"/>
      <family val="2"/>
    </font>
    <font>
      <b/>
      <sz val="10"/>
      <name val="Arial"/>
      <family val="2"/>
    </font>
    <font>
      <b/>
      <sz val="7.5"/>
      <color indexed="8"/>
      <name val="Tahoma"/>
      <family val="2"/>
    </font>
    <font>
      <b/>
      <sz val="10"/>
      <color indexed="12"/>
      <name val="Arial"/>
      <family val="2"/>
    </font>
    <font>
      <b/>
      <sz val="10"/>
      <color indexed="10"/>
      <name val="Arial"/>
      <family val="2"/>
    </font>
    <font>
      <sz val="8"/>
      <name val="Arial"/>
      <family val="2"/>
    </font>
    <font>
      <u val="single"/>
      <sz val="10"/>
      <name val="Arial Narrow"/>
      <family val="2"/>
    </font>
    <font>
      <b/>
      <sz val="9"/>
      <name val="Arial"/>
      <family val="2"/>
    </font>
    <font>
      <sz val="9"/>
      <name val="Arial"/>
      <family val="2"/>
    </font>
    <font>
      <vertAlign val="superscript"/>
      <sz val="10"/>
      <color indexed="10"/>
      <name val="Arial"/>
      <family val="2"/>
    </font>
    <font>
      <u val="single"/>
      <sz val="8"/>
      <color indexed="10"/>
      <name val="Arial"/>
      <family val="2"/>
    </font>
    <font>
      <sz val="8"/>
      <color indexed="10"/>
      <name val="Arial"/>
      <family val="2"/>
    </font>
    <font>
      <b/>
      <sz val="12"/>
      <color indexed="10"/>
      <name val="Arial"/>
      <family val="2"/>
    </font>
    <font>
      <sz val="10"/>
      <color indexed="10"/>
      <name val="Arial Narrow"/>
      <family val="2"/>
    </font>
    <font>
      <b/>
      <sz val="14"/>
      <color indexed="10"/>
      <name val="Arial"/>
      <family val="2"/>
    </font>
    <font>
      <b/>
      <sz val="7"/>
      <color indexed="10"/>
      <name val="Arial"/>
      <family val="2"/>
    </font>
    <font>
      <sz val="14"/>
      <color indexed="10"/>
      <name val="Arial"/>
      <family val="2"/>
    </font>
    <font>
      <sz val="10"/>
      <color indexed="10"/>
      <name val="Arial"/>
      <family val="2"/>
    </font>
    <font>
      <sz val="10"/>
      <color indexed="10"/>
      <name val="Times New Roman"/>
      <family val="1"/>
    </font>
    <font>
      <sz val="8"/>
      <name val="Arial Narrow"/>
      <family val="2"/>
    </font>
    <font>
      <sz val="9"/>
      <name val="Arial Narrow"/>
      <family val="2"/>
    </font>
    <font>
      <sz val="10"/>
      <name val="Tahoma"/>
      <family val="2"/>
    </font>
    <font>
      <b/>
      <sz val="8.5"/>
      <color indexed="10"/>
      <name val="Arial Narrow"/>
      <family val="2"/>
    </font>
    <font>
      <b/>
      <sz val="8"/>
      <color indexed="8"/>
      <name val="Tahoma"/>
      <family val="2"/>
    </font>
    <font>
      <sz val="8"/>
      <color indexed="8"/>
      <name val="Tahoma"/>
      <family val="2"/>
    </font>
    <font>
      <b/>
      <sz val="6.5"/>
      <name val="Arial Narrow"/>
      <family val="2"/>
    </font>
    <font>
      <b/>
      <u val="single"/>
      <sz val="14"/>
      <color indexed="10"/>
      <name val="Arial"/>
      <family val="2"/>
    </font>
    <font>
      <sz val="11"/>
      <name val="Tahoma"/>
      <family val="2"/>
    </font>
    <font>
      <sz val="8"/>
      <color indexed="63"/>
      <name val="Arial Narrow"/>
      <family val="2"/>
    </font>
    <font>
      <sz val="8"/>
      <color indexed="10"/>
      <name val="Arial Narrow"/>
      <family val="2"/>
    </font>
    <font>
      <sz val="12"/>
      <name val="Tahoma"/>
      <family val="2"/>
    </font>
    <font>
      <b/>
      <sz val="8"/>
      <name val="Arial Narrow"/>
      <family val="2"/>
    </font>
    <font>
      <sz val="10"/>
      <color indexed="63"/>
      <name val="Arial Narrow"/>
      <family val="2"/>
    </font>
    <font>
      <sz val="11"/>
      <name val="Arial"/>
      <family val="2"/>
    </font>
    <font>
      <b/>
      <sz val="12"/>
      <name val="Arial"/>
      <family val="2"/>
    </font>
    <font>
      <sz val="14"/>
      <name val="Arial"/>
      <family val="2"/>
    </font>
    <font>
      <b/>
      <sz val="10"/>
      <color indexed="49"/>
      <name val="Arial"/>
      <family val="2"/>
    </font>
    <font>
      <b/>
      <sz val="8"/>
      <color indexed="63"/>
      <name val="Arial Narrow"/>
      <family val="2"/>
    </font>
    <font>
      <sz val="16"/>
      <color indexed="10"/>
      <name val="Arial Narrow"/>
      <family val="2"/>
    </font>
    <font>
      <sz val="9"/>
      <color indexed="63"/>
      <name val="Arial Narrow"/>
      <family val="2"/>
    </font>
    <font>
      <sz val="10"/>
      <color indexed="52"/>
      <name val="Arial"/>
      <family val="2"/>
    </font>
    <font>
      <b/>
      <sz val="8"/>
      <name val="Arial"/>
      <family val="2"/>
    </font>
    <font>
      <sz val="10"/>
      <name val="Calibri"/>
      <family val="2"/>
    </font>
    <font>
      <b/>
      <sz val="10"/>
      <color indexed="10"/>
      <name val="Calibri"/>
      <family val="2"/>
    </font>
    <font>
      <b/>
      <sz val="9.5"/>
      <name val="Calibri"/>
      <family val="2"/>
    </font>
    <font>
      <b/>
      <sz val="11"/>
      <color indexed="60"/>
      <name val="Calibri"/>
      <family val="2"/>
    </font>
    <font>
      <sz val="9.5"/>
      <name val="Calibri"/>
      <family val="2"/>
    </font>
    <font>
      <sz val="11"/>
      <color indexed="60"/>
      <name val="Calibri"/>
      <family val="2"/>
    </font>
    <font>
      <b/>
      <sz val="10"/>
      <name val="Calibri"/>
      <family val="2"/>
    </font>
    <font>
      <b/>
      <sz val="12"/>
      <name val="Calibri"/>
      <family val="2"/>
    </font>
    <font>
      <b/>
      <i/>
      <sz val="10"/>
      <name val="Calibri"/>
      <family val="2"/>
    </font>
    <font>
      <b/>
      <i/>
      <sz val="12"/>
      <name val="Calibri"/>
      <family val="2"/>
    </font>
    <font>
      <b/>
      <sz val="11"/>
      <name val="Calibri"/>
      <family val="2"/>
    </font>
    <font>
      <b/>
      <sz val="9"/>
      <name val="Tahoma"/>
      <family val="2"/>
    </font>
    <font>
      <sz val="9"/>
      <name val="Tahoma"/>
      <family val="2"/>
    </font>
    <font>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2"/>
      <name val="Calibri"/>
      <family val="2"/>
    </font>
    <font>
      <sz val="10"/>
      <color indexed="57"/>
      <name val="Calibri"/>
      <family val="2"/>
    </font>
    <font>
      <sz val="10"/>
      <color indexed="9"/>
      <name val="Calibri"/>
      <family val="2"/>
    </font>
    <font>
      <sz val="10"/>
      <color indexed="55"/>
      <name val="Calibri"/>
      <family val="2"/>
    </font>
    <font>
      <sz val="10"/>
      <color indexed="49"/>
      <name val="Calibri"/>
      <family val="2"/>
    </font>
    <font>
      <sz val="10"/>
      <color indexed="10"/>
      <name val="Calibri"/>
      <family val="2"/>
    </font>
    <font>
      <u val="single"/>
      <sz val="10"/>
      <name val="Calibri"/>
      <family val="2"/>
    </font>
    <font>
      <sz val="8"/>
      <name val="Calibri"/>
      <family val="2"/>
    </font>
    <font>
      <sz val="10"/>
      <color indexed="62"/>
      <name val="Calibri"/>
      <family val="2"/>
    </font>
    <font>
      <sz val="9"/>
      <color indexed="63"/>
      <name val="Calibri"/>
      <family val="2"/>
    </font>
    <font>
      <sz val="8"/>
      <color indexed="10"/>
      <name val="Calibri"/>
      <family val="2"/>
    </font>
    <font>
      <b/>
      <sz val="10"/>
      <color indexed="8"/>
      <name val="Calibri"/>
      <family val="2"/>
    </font>
    <font>
      <sz val="10"/>
      <color indexed="12"/>
      <name val="Calibri"/>
      <family val="2"/>
    </font>
    <font>
      <sz val="10"/>
      <color indexed="23"/>
      <name val="Calibri"/>
      <family val="2"/>
    </font>
    <font>
      <b/>
      <sz val="10"/>
      <color indexed="9"/>
      <name val="Calibri"/>
      <family val="2"/>
    </font>
    <font>
      <b/>
      <sz val="10"/>
      <color indexed="23"/>
      <name val="Calibri"/>
      <family val="2"/>
    </font>
    <font>
      <b/>
      <sz val="9"/>
      <name val="Calibri"/>
      <family val="2"/>
    </font>
    <font>
      <sz val="9"/>
      <name val="Calibri"/>
      <family val="2"/>
    </font>
    <font>
      <b/>
      <sz val="9"/>
      <color indexed="23"/>
      <name val="Calibri"/>
      <family val="2"/>
    </font>
    <font>
      <sz val="9"/>
      <color indexed="23"/>
      <name val="Calibri"/>
      <family val="2"/>
    </font>
    <font>
      <b/>
      <sz val="9"/>
      <color indexed="10"/>
      <name val="Calibri"/>
      <family val="2"/>
    </font>
    <font>
      <sz val="9"/>
      <color indexed="9"/>
      <name val="Calibri"/>
      <family val="2"/>
    </font>
    <font>
      <u val="single"/>
      <sz val="9"/>
      <name val="Calibri"/>
      <family val="2"/>
    </font>
    <font>
      <b/>
      <sz val="8"/>
      <name val="Calibri"/>
      <family val="2"/>
    </font>
    <font>
      <sz val="11"/>
      <name val="Calibri"/>
      <family val="2"/>
    </font>
    <font>
      <sz val="8.5"/>
      <name val="Calibri"/>
      <family val="2"/>
    </font>
    <font>
      <sz val="13"/>
      <name val="Calibri"/>
      <family val="2"/>
    </font>
    <font>
      <b/>
      <sz val="14"/>
      <color indexed="10"/>
      <name val="Calibri"/>
      <family val="2"/>
    </font>
    <font>
      <b/>
      <sz val="10"/>
      <color indexed="49"/>
      <name val="Calibri"/>
      <family val="2"/>
    </font>
    <font>
      <sz val="10.5"/>
      <color indexed="10"/>
      <name val="Calibri"/>
      <family val="2"/>
    </font>
    <font>
      <b/>
      <sz val="11"/>
      <color indexed="49"/>
      <name val="Calibri"/>
      <family val="2"/>
    </font>
    <font>
      <sz val="7"/>
      <name val="Calibri"/>
      <family val="2"/>
    </font>
    <font>
      <b/>
      <sz val="10"/>
      <color indexed="30"/>
      <name val="Calibri"/>
      <family val="2"/>
    </font>
    <font>
      <b/>
      <sz val="9"/>
      <color indexed="63"/>
      <name val="Calibri"/>
      <family val="2"/>
    </font>
    <font>
      <sz val="10"/>
      <color indexed="22"/>
      <name val="Calibri"/>
      <family val="2"/>
    </font>
    <font>
      <sz val="8"/>
      <color indexed="8"/>
      <name val="Calibri"/>
      <family val="2"/>
    </font>
    <font>
      <sz val="9"/>
      <color indexed="44"/>
      <name val="Calibri"/>
      <family val="2"/>
    </font>
    <font>
      <b/>
      <sz val="10"/>
      <color indexed="55"/>
      <name val="Calibri"/>
      <family val="2"/>
    </font>
    <font>
      <b/>
      <sz val="12"/>
      <color indexed="10"/>
      <name val="Calibri"/>
      <family val="2"/>
    </font>
    <font>
      <sz val="9"/>
      <color indexed="62"/>
      <name val="Calibri"/>
      <family val="2"/>
    </font>
    <font>
      <b/>
      <sz val="11"/>
      <color indexed="12"/>
      <name val="Calibri"/>
      <family val="2"/>
    </font>
    <font>
      <b/>
      <sz val="10"/>
      <color indexed="63"/>
      <name val="Calibri"/>
      <family val="2"/>
    </font>
    <font>
      <b/>
      <sz val="10.5"/>
      <color indexed="10"/>
      <name val="Calibri"/>
      <family val="2"/>
    </font>
    <font>
      <b/>
      <sz val="12"/>
      <color indexed="9"/>
      <name val="Calibri"/>
      <family val="2"/>
    </font>
    <font>
      <sz val="10.5"/>
      <color indexed="55"/>
      <name val="Calibri"/>
      <family val="2"/>
    </font>
    <font>
      <b/>
      <sz val="12"/>
      <color indexed="8"/>
      <name val="Calibri"/>
      <family val="2"/>
    </font>
    <font>
      <sz val="18"/>
      <color indexed="8"/>
      <name val="Calibri"/>
      <family val="0"/>
    </font>
    <font>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sz val="10"/>
      <color theme="0"/>
      <name val="Calibri"/>
      <family val="2"/>
    </font>
    <font>
      <sz val="11"/>
      <color theme="4" tint="0.7999799847602844"/>
      <name val="Calibri"/>
      <family val="2"/>
    </font>
    <font>
      <sz val="10"/>
      <color rgb="FF3EA6C2"/>
      <name val="Calibri"/>
      <family val="2"/>
    </font>
    <font>
      <b/>
      <sz val="10"/>
      <color rgb="FF3EA6C2"/>
      <name val="Calibri"/>
      <family val="2"/>
    </font>
    <font>
      <b/>
      <sz val="11"/>
      <color rgb="FF3EA6C2"/>
      <name val="Calibri"/>
      <family val="2"/>
    </font>
    <font>
      <b/>
      <sz val="10"/>
      <color rgb="FFFF0000"/>
      <name val="Calibri"/>
      <family val="2"/>
    </font>
    <font>
      <sz val="10"/>
      <color theme="8" tint="-0.24997000396251678"/>
      <name val="Calibri"/>
      <family val="2"/>
    </font>
    <font>
      <b/>
      <sz val="9"/>
      <color rgb="FF333333"/>
      <name val="Calibri"/>
      <family val="2"/>
    </font>
    <font>
      <b/>
      <sz val="12"/>
      <color rgb="FFFF0000"/>
      <name val="Calibri"/>
      <family val="2"/>
    </font>
    <font>
      <sz val="10"/>
      <color rgb="FFFF0000"/>
      <name val="Calibri"/>
      <family val="2"/>
    </font>
    <font>
      <b/>
      <sz val="11"/>
      <color rgb="FF0000FF"/>
      <name val="Calibri"/>
      <family val="2"/>
    </font>
    <font>
      <b/>
      <sz val="12"/>
      <color theme="0"/>
      <name val="Calibri"/>
      <family val="2"/>
    </font>
    <font>
      <b/>
      <sz val="12"/>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0"/>
        <bgColor indexed="64"/>
      </patternFill>
    </fill>
    <fill>
      <patternFill patternType="solid">
        <fgColor rgb="FFCCFFFF"/>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rgb="FFECF1F8"/>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indexed="54"/>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double">
        <color indexed="9"/>
      </left>
      <right style="thin">
        <color indexed="9"/>
      </right>
      <top style="thin"/>
      <bottom style="thin"/>
    </border>
    <border>
      <left style="thin">
        <color indexed="9"/>
      </left>
      <right style="thin">
        <color indexed="9"/>
      </right>
      <top style="thin"/>
      <bottom style="thin"/>
    </border>
    <border>
      <left style="hair"/>
      <right style="medium"/>
      <top style="hair"/>
      <bottom style="hair"/>
    </border>
    <border>
      <left style="medium"/>
      <right style="hair"/>
      <top style="hair"/>
      <bottom style="medium"/>
    </border>
    <border>
      <left style="hair"/>
      <right style="medium"/>
      <top style="hair"/>
      <bottom style="medium"/>
    </border>
    <border>
      <left style="hair"/>
      <right style="medium"/>
      <top>
        <color indexed="63"/>
      </top>
      <bottom style="hair"/>
    </border>
    <border>
      <left style="hair"/>
      <right>
        <color indexed="63"/>
      </right>
      <top style="medium"/>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hair"/>
      <top style="medium"/>
      <bottom style="medium"/>
    </border>
    <border>
      <left style="thin"/>
      <right style="medium"/>
      <top style="hair"/>
      <bottom style="hair"/>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hair"/>
      <top>
        <color indexed="63"/>
      </top>
      <bottom style="hair"/>
    </border>
    <border>
      <left style="medium"/>
      <right style="hair"/>
      <top style="hair"/>
      <bottom style="hair"/>
    </border>
    <border>
      <left style="medium"/>
      <right style="thin"/>
      <top style="medium"/>
      <bottom>
        <color indexed="63"/>
      </bottom>
    </border>
    <border>
      <left style="thin"/>
      <right style="thin"/>
      <top style="medium"/>
      <bottom>
        <color indexed="63"/>
      </bottom>
    </border>
    <border>
      <left style="thin"/>
      <right style="hair"/>
      <top style="hair"/>
      <bottom style="hair"/>
    </border>
    <border>
      <left>
        <color indexed="63"/>
      </left>
      <right>
        <color indexed="63"/>
      </right>
      <top style="hair"/>
      <bottom>
        <color indexed="63"/>
      </bottom>
    </border>
    <border>
      <left style="thin"/>
      <right style="thin"/>
      <top style="thin"/>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medium"/>
      <top style="medium"/>
      <bottom style="hair"/>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hair"/>
    </border>
    <border>
      <left style="hair"/>
      <right style="hair"/>
      <top style="thin"/>
      <bottom style="thin"/>
    </border>
    <border>
      <left style="thin"/>
      <right style="medium"/>
      <top style="thin"/>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double"/>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hair">
        <color indexed="43"/>
      </top>
      <bottom style="hair">
        <color indexed="43"/>
      </bottom>
    </border>
    <border>
      <left style="medium"/>
      <right style="thin"/>
      <top style="thin"/>
      <bottom style="thin"/>
    </border>
    <border>
      <left style="thin"/>
      <right style="medium"/>
      <top style="thin"/>
      <bottom style="thin"/>
    </border>
    <border>
      <left style="thin">
        <color indexed="28"/>
      </left>
      <right style="thin">
        <color indexed="28"/>
      </right>
      <top style="thin">
        <color indexed="28"/>
      </top>
      <bottom style="thin">
        <color indexed="28"/>
      </bottom>
    </border>
    <border>
      <left style="thin">
        <color indexed="57"/>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medium"/>
      <bottom style="hair"/>
    </border>
    <border>
      <left style="thin">
        <color indexed="8"/>
      </left>
      <right style="thin">
        <color indexed="8"/>
      </right>
      <top style="medium"/>
      <bottom style="hair"/>
    </border>
    <border>
      <left style="thin">
        <color indexed="8"/>
      </left>
      <right>
        <color indexed="63"/>
      </right>
      <top style="medium"/>
      <bottom style="hair"/>
    </border>
    <border>
      <left style="thin"/>
      <right style="thin"/>
      <top style="medium"/>
      <bottom style="hair"/>
    </border>
    <border>
      <left style="medium"/>
      <right style="thin">
        <color indexed="8"/>
      </right>
      <top style="hair"/>
      <bottom style="hair"/>
    </border>
    <border>
      <left style="thin">
        <color indexed="8"/>
      </left>
      <right style="thin">
        <color indexed="8"/>
      </right>
      <top style="hair"/>
      <bottom style="hair"/>
    </border>
    <border>
      <left style="thin">
        <color indexed="8"/>
      </left>
      <right>
        <color indexed="63"/>
      </right>
      <top style="hair"/>
      <bottom style="hair"/>
    </border>
    <border>
      <left style="medium"/>
      <right style="thin">
        <color indexed="8"/>
      </right>
      <top style="hair"/>
      <bottom style="medium"/>
    </border>
    <border>
      <left style="thin">
        <color indexed="8"/>
      </left>
      <right style="thin">
        <color indexed="8"/>
      </right>
      <top style="hair"/>
      <bottom style="medium"/>
    </border>
    <border>
      <left style="thin">
        <color indexed="8"/>
      </left>
      <right>
        <color indexed="63"/>
      </right>
      <top style="hair"/>
      <bottom style="medium"/>
    </border>
    <border>
      <left>
        <color indexed="63"/>
      </left>
      <right style="thin"/>
      <top style="medium"/>
      <bottom style="medium"/>
    </border>
    <border>
      <left>
        <color indexed="63"/>
      </left>
      <right style="thin"/>
      <top style="thin"/>
      <bottom style="medium"/>
    </border>
    <border>
      <left style="medium"/>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hair"/>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8" fillId="0" borderId="0" applyNumberFormat="0" applyFill="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0"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86" fontId="0" fillId="0" borderId="0" applyFont="0" applyFill="0" applyBorder="0" applyAlignment="0" applyProtection="0"/>
    <xf numFmtId="189" fontId="8"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0" fontId="14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42" fillId="21" borderId="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6" applyNumberFormat="0" applyFill="0" applyAlignment="0" applyProtection="0"/>
    <xf numFmtId="0" fontId="147" fillId="0" borderId="7" applyNumberFormat="0" applyFill="0" applyAlignment="0" applyProtection="0"/>
    <xf numFmtId="0" fontId="138" fillId="0" borderId="8" applyNumberFormat="0" applyFill="0" applyAlignment="0" applyProtection="0"/>
    <xf numFmtId="0" fontId="148" fillId="0" borderId="9" applyNumberFormat="0" applyFill="0" applyAlignment="0" applyProtection="0"/>
  </cellStyleXfs>
  <cellXfs count="1071">
    <xf numFmtId="0" fontId="0" fillId="0" borderId="0" xfId="0" applyAlignment="1">
      <alignment/>
    </xf>
    <xf numFmtId="183" fontId="0" fillId="0" borderId="0" xfId="49"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183" fontId="0" fillId="0" borderId="0" xfId="49" applyFont="1" applyBorder="1" applyAlignment="1">
      <alignment/>
    </xf>
    <xf numFmtId="0" fontId="0" fillId="0" borderId="0" xfId="0" applyFont="1" applyBorder="1" applyAlignment="1">
      <alignment/>
    </xf>
    <xf numFmtId="183" fontId="1" fillId="0" borderId="0" xfId="0" applyNumberFormat="1" applyFont="1" applyBorder="1" applyAlignment="1">
      <alignment/>
    </xf>
    <xf numFmtId="10" fontId="0" fillId="0" borderId="0" xfId="63" applyNumberFormat="1" applyFont="1" applyBorder="1" applyAlignment="1">
      <alignment/>
    </xf>
    <xf numFmtId="183" fontId="1" fillId="0" borderId="0" xfId="49" applyFont="1" applyBorder="1" applyAlignment="1">
      <alignment/>
    </xf>
    <xf numFmtId="9" fontId="0" fillId="0" borderId="0" xfId="63" applyFont="1" applyBorder="1" applyAlignment="1">
      <alignment/>
    </xf>
    <xf numFmtId="0" fontId="1" fillId="0" borderId="10" xfId="0" applyFont="1" applyBorder="1" applyAlignment="1">
      <alignment/>
    </xf>
    <xf numFmtId="0" fontId="1" fillId="0" borderId="0" xfId="0" applyFont="1" applyBorder="1" applyAlignment="1">
      <alignment horizontal="right"/>
    </xf>
    <xf numFmtId="183" fontId="1" fillId="0" borderId="0" xfId="49" applyFont="1" applyFill="1" applyBorder="1" applyAlignment="1">
      <alignment/>
    </xf>
    <xf numFmtId="10" fontId="1" fillId="0" borderId="0" xfId="0" applyNumberFormat="1" applyFont="1" applyBorder="1" applyAlignment="1">
      <alignment/>
    </xf>
    <xf numFmtId="183" fontId="1" fillId="0" borderId="11" xfId="49" applyFont="1" applyBorder="1" applyAlignment="1">
      <alignment/>
    </xf>
    <xf numFmtId="0" fontId="0" fillId="0" borderId="0" xfId="0" applyFont="1" applyAlignment="1">
      <alignment/>
    </xf>
    <xf numFmtId="183" fontId="0" fillId="0" borderId="0" xfId="0" applyNumberFormat="1" applyAlignment="1">
      <alignment/>
    </xf>
    <xf numFmtId="183" fontId="0" fillId="0" borderId="0" xfId="0" applyNumberFormat="1" applyFont="1" applyAlignment="1">
      <alignment/>
    </xf>
    <xf numFmtId="183" fontId="1" fillId="0" borderId="0" xfId="49" applyFont="1" applyAlignment="1">
      <alignment/>
    </xf>
    <xf numFmtId="183" fontId="0" fillId="0" borderId="0" xfId="49" applyFont="1" applyAlignment="1">
      <alignment/>
    </xf>
    <xf numFmtId="10" fontId="0" fillId="0" borderId="0" xfId="49" applyNumberFormat="1" applyFont="1" applyAlignment="1">
      <alignment/>
    </xf>
    <xf numFmtId="0" fontId="1" fillId="0" borderId="0" xfId="0" applyFont="1" applyAlignment="1">
      <alignment horizontal="center"/>
    </xf>
    <xf numFmtId="0" fontId="8" fillId="0" borderId="0" xfId="60" applyAlignment="1">
      <alignment horizontal="left" indent="1"/>
      <protection/>
    </xf>
    <xf numFmtId="0" fontId="0" fillId="0" borderId="0" xfId="0" applyFont="1" applyAlignment="1">
      <alignment horizontal="center"/>
    </xf>
    <xf numFmtId="183" fontId="0" fillId="0" borderId="0" xfId="49" applyFont="1" applyAlignment="1">
      <alignment horizontal="center"/>
    </xf>
    <xf numFmtId="183" fontId="0" fillId="0" borderId="0" xfId="0" applyNumberFormat="1" applyFont="1" applyAlignment="1">
      <alignment horizontal="center" wrapText="1"/>
    </xf>
    <xf numFmtId="0" fontId="4" fillId="0" borderId="0" xfId="0" applyFont="1" applyAlignment="1">
      <alignment horizontal="center"/>
    </xf>
    <xf numFmtId="183" fontId="4" fillId="0" borderId="0" xfId="49" applyFont="1" applyAlignment="1">
      <alignment/>
    </xf>
    <xf numFmtId="0" fontId="9" fillId="0" borderId="0" xfId="60" applyFont="1" applyAlignment="1">
      <alignment/>
      <protection/>
    </xf>
    <xf numFmtId="0" fontId="8" fillId="0" borderId="0" xfId="60" applyAlignment="1">
      <alignment/>
      <protection/>
    </xf>
    <xf numFmtId="0" fontId="8" fillId="0" borderId="12" xfId="60" applyBorder="1" applyAlignment="1">
      <alignment/>
      <protection/>
    </xf>
    <xf numFmtId="0" fontId="12" fillId="33" borderId="12" xfId="60" applyFont="1" applyFill="1" applyBorder="1" applyAlignment="1">
      <alignment horizontal="center" vertical="top"/>
      <protection/>
    </xf>
    <xf numFmtId="0" fontId="13" fillId="33" borderId="12" xfId="60" applyFont="1" applyFill="1" applyBorder="1" applyAlignment="1">
      <alignment horizontal="center" vertical="top"/>
      <protection/>
    </xf>
    <xf numFmtId="0" fontId="11" fillId="0" borderId="12" xfId="60" applyFont="1" applyBorder="1" applyAlignment="1">
      <alignment horizontal="left" vertical="top"/>
      <protection/>
    </xf>
    <xf numFmtId="0" fontId="11" fillId="0" borderId="12" xfId="60" applyFont="1" applyBorder="1" applyAlignment="1">
      <alignment horizontal="right" vertical="top"/>
      <protection/>
    </xf>
    <xf numFmtId="0" fontId="8" fillId="0" borderId="12" xfId="60" applyFont="1" applyBorder="1" applyAlignment="1">
      <alignment horizontal="right" vertical="top"/>
      <protection/>
    </xf>
    <xf numFmtId="0" fontId="8" fillId="0" borderId="12" xfId="60" applyFont="1" applyBorder="1" applyAlignment="1">
      <alignment horizontal="right"/>
      <protection/>
    </xf>
    <xf numFmtId="0" fontId="15" fillId="0" borderId="12" xfId="60" applyFont="1" applyBorder="1" applyAlignment="1">
      <alignment horizontal="right"/>
      <protection/>
    </xf>
    <xf numFmtId="0" fontId="8" fillId="0" borderId="12" xfId="60" applyFont="1" applyBorder="1" applyAlignment="1">
      <alignment/>
      <protection/>
    </xf>
    <xf numFmtId="0" fontId="12" fillId="0" borderId="12" xfId="60" applyFont="1" applyBorder="1" applyAlignment="1">
      <alignment horizontal="left" vertical="top"/>
      <protection/>
    </xf>
    <xf numFmtId="0" fontId="16" fillId="0" borderId="12" xfId="60" applyFont="1" applyBorder="1" applyAlignment="1">
      <alignment horizontal="right" vertical="top"/>
      <protection/>
    </xf>
    <xf numFmtId="0" fontId="16" fillId="0" borderId="0" xfId="60" applyFont="1" applyAlignment="1">
      <alignment/>
      <protection/>
    </xf>
    <xf numFmtId="0" fontId="7" fillId="0" borderId="0" xfId="47" applyAlignment="1" applyProtection="1">
      <alignment horizontal="right"/>
      <protection/>
    </xf>
    <xf numFmtId="194" fontId="0" fillId="0" borderId="0" xfId="0" applyNumberFormat="1" applyFont="1" applyAlignment="1">
      <alignment/>
    </xf>
    <xf numFmtId="183" fontId="0" fillId="0" borderId="0" xfId="49" applyFill="1" applyBorder="1" applyAlignment="1">
      <alignment/>
    </xf>
    <xf numFmtId="0" fontId="0" fillId="0" borderId="0" xfId="0" applyFont="1" applyFill="1" applyBorder="1" applyAlignment="1">
      <alignment horizontal="center"/>
    </xf>
    <xf numFmtId="10" fontId="18" fillId="0" borderId="0" xfId="0" applyNumberFormat="1" applyFont="1" applyBorder="1" applyAlignment="1">
      <alignment/>
    </xf>
    <xf numFmtId="183" fontId="18" fillId="0" borderId="0" xfId="49" applyFont="1" applyBorder="1" applyAlignment="1">
      <alignment/>
    </xf>
    <xf numFmtId="179" fontId="0" fillId="0" borderId="0" xfId="0" applyNumberFormat="1" applyAlignment="1">
      <alignment/>
    </xf>
    <xf numFmtId="2" fontId="20" fillId="34" borderId="13" xfId="0" applyNumberFormat="1" applyFont="1" applyFill="1" applyBorder="1" applyAlignment="1">
      <alignment horizontal="right"/>
    </xf>
    <xf numFmtId="0" fontId="17" fillId="35" borderId="13" xfId="0" applyFont="1" applyFill="1" applyBorder="1" applyAlignment="1">
      <alignment horizontal="left"/>
    </xf>
    <xf numFmtId="2" fontId="20" fillId="35" borderId="13" xfId="0" applyNumberFormat="1" applyFont="1" applyFill="1" applyBorder="1" applyAlignment="1">
      <alignment horizontal="right"/>
    </xf>
    <xf numFmtId="0" fontId="0" fillId="34" borderId="14" xfId="0" applyFill="1" applyBorder="1" applyAlignment="1">
      <alignment horizontal="left"/>
    </xf>
    <xf numFmtId="2" fontId="0" fillId="34" borderId="14" xfId="0" applyNumberFormat="1" applyFill="1" applyBorder="1" applyAlignment="1">
      <alignment/>
    </xf>
    <xf numFmtId="0" fontId="0" fillId="34" borderId="14" xfId="0" applyFill="1" applyBorder="1" applyAlignment="1">
      <alignment/>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horizontal="left" vertical="center"/>
    </xf>
    <xf numFmtId="0" fontId="28" fillId="0" borderId="0" xfId="0" applyFont="1" applyBorder="1" applyAlignment="1">
      <alignment horizontal="left" vertical="center"/>
    </xf>
    <xf numFmtId="0" fontId="29" fillId="0" borderId="0" xfId="0" applyFont="1" applyFill="1" applyBorder="1" applyAlignment="1">
      <alignment horizontal="center"/>
    </xf>
    <xf numFmtId="3" fontId="30" fillId="0" borderId="0" xfId="0" applyNumberFormat="1" applyFont="1" applyAlignment="1">
      <alignment/>
    </xf>
    <xf numFmtId="37" fontId="25" fillId="0" borderId="0" xfId="54" applyNumberFormat="1" applyFont="1" applyBorder="1" applyAlignment="1">
      <alignment/>
    </xf>
    <xf numFmtId="3" fontId="25" fillId="0" borderId="0" xfId="0" applyNumberFormat="1" applyFont="1" applyBorder="1" applyAlignment="1">
      <alignment/>
    </xf>
    <xf numFmtId="0" fontId="29" fillId="0" borderId="0" xfId="0" applyFont="1" applyFill="1" applyBorder="1" applyAlignment="1">
      <alignment/>
    </xf>
    <xf numFmtId="197" fontId="29" fillId="0" borderId="0" xfId="49" applyNumberFormat="1" applyFont="1" applyFill="1" applyBorder="1" applyAlignment="1">
      <alignment/>
    </xf>
    <xf numFmtId="0" fontId="29" fillId="0" borderId="0" xfId="0" applyFont="1" applyBorder="1" applyAlignment="1">
      <alignment horizontal="center"/>
    </xf>
    <xf numFmtId="197" fontId="29" fillId="0" borderId="0" xfId="49" applyNumberFormat="1" applyFont="1" applyFill="1" applyBorder="1" applyAlignment="1">
      <alignment horizontal="center"/>
    </xf>
    <xf numFmtId="0" fontId="25" fillId="0" borderId="0" xfId="0" applyFont="1" applyBorder="1" applyAlignment="1">
      <alignment vertical="center"/>
    </xf>
    <xf numFmtId="0" fontId="29" fillId="0" borderId="0" xfId="0" applyFont="1" applyFill="1" applyBorder="1" applyAlignment="1">
      <alignment vertical="center"/>
    </xf>
    <xf numFmtId="197" fontId="29" fillId="0" borderId="0" xfId="49" applyNumberFormat="1" applyFont="1" applyFill="1" applyBorder="1" applyAlignment="1">
      <alignment vertical="center"/>
    </xf>
    <xf numFmtId="0" fontId="29" fillId="0" borderId="0" xfId="0" applyFont="1" applyFill="1" applyBorder="1" applyAlignment="1">
      <alignment horizontal="left" vertical="center"/>
    </xf>
    <xf numFmtId="197" fontId="29" fillId="0" borderId="0" xfId="49" applyNumberFormat="1" applyFont="1" applyFill="1" applyBorder="1" applyAlignment="1">
      <alignment horizontal="right" vertical="center"/>
    </xf>
    <xf numFmtId="0" fontId="29" fillId="0" borderId="0" xfId="0" applyFont="1" applyBorder="1" applyAlignment="1">
      <alignment/>
    </xf>
    <xf numFmtId="0" fontId="26" fillId="36" borderId="0" xfId="0" applyFont="1" applyFill="1" applyBorder="1" applyAlignment="1">
      <alignment horizontal="left" vertical="center"/>
    </xf>
    <xf numFmtId="0" fontId="25" fillId="36" borderId="0" xfId="0" applyFont="1" applyFill="1" applyBorder="1" applyAlignment="1">
      <alignment/>
    </xf>
    <xf numFmtId="0" fontId="32" fillId="0" borderId="0" xfId="0" applyFont="1" applyBorder="1" applyAlignment="1">
      <alignment/>
    </xf>
    <xf numFmtId="10" fontId="1" fillId="0" borderId="15" xfId="63" applyNumberFormat="1" applyFont="1" applyBorder="1" applyAlignment="1">
      <alignment/>
    </xf>
    <xf numFmtId="0" fontId="48" fillId="0" borderId="0" xfId="0" applyFont="1" applyFill="1" applyBorder="1" applyAlignment="1">
      <alignment horizontal="left"/>
    </xf>
    <xf numFmtId="10" fontId="1" fillId="36" borderId="15" xfId="63" applyNumberFormat="1" applyFont="1" applyFill="1" applyBorder="1" applyAlignment="1">
      <alignment/>
    </xf>
    <xf numFmtId="196" fontId="1" fillId="0" borderId="11" xfId="49" applyNumberFormat="1" applyFont="1" applyBorder="1" applyAlignment="1">
      <alignment/>
    </xf>
    <xf numFmtId="0" fontId="32" fillId="0" borderId="16" xfId="0" applyFont="1" applyBorder="1" applyAlignment="1">
      <alignment/>
    </xf>
    <xf numFmtId="0" fontId="32" fillId="0" borderId="14" xfId="0" applyFont="1" applyBorder="1" applyAlignment="1">
      <alignment/>
    </xf>
    <xf numFmtId="183" fontId="32" fillId="0" borderId="17" xfId="49" applyFont="1" applyBorder="1" applyAlignment="1">
      <alignment/>
    </xf>
    <xf numFmtId="10" fontId="32" fillId="0" borderId="0" xfId="63" applyNumberFormat="1" applyFont="1" applyBorder="1" applyAlignment="1">
      <alignment/>
    </xf>
    <xf numFmtId="183" fontId="32" fillId="0" borderId="0" xfId="49" applyFont="1" applyBorder="1" applyAlignment="1">
      <alignment/>
    </xf>
    <xf numFmtId="9" fontId="32" fillId="0" borderId="0" xfId="63" applyFont="1" applyBorder="1" applyAlignment="1">
      <alignment/>
    </xf>
    <xf numFmtId="183" fontId="32" fillId="0" borderId="14" xfId="49" applyFont="1" applyBorder="1" applyAlignment="1">
      <alignment/>
    </xf>
    <xf numFmtId="0" fontId="37" fillId="34" borderId="14" xfId="0" applyFont="1" applyFill="1" applyBorder="1" applyAlignment="1">
      <alignment horizontal="left"/>
    </xf>
    <xf numFmtId="0" fontId="38" fillId="0" borderId="0" xfId="0" applyFont="1" applyBorder="1" applyAlignment="1">
      <alignment horizontal="center" vertical="center"/>
    </xf>
    <xf numFmtId="0" fontId="19" fillId="34" borderId="18" xfId="0" applyFont="1" applyFill="1" applyBorder="1" applyAlignment="1">
      <alignment horizontal="right"/>
    </xf>
    <xf numFmtId="0" fontId="19" fillId="34" borderId="19" xfId="0" applyFont="1" applyFill="1" applyBorder="1" applyAlignment="1">
      <alignment horizontal="right"/>
    </xf>
    <xf numFmtId="0" fontId="49" fillId="0" borderId="0" xfId="0" applyFont="1" applyAlignment="1">
      <alignment horizontal="left"/>
    </xf>
    <xf numFmtId="0" fontId="5" fillId="0" borderId="0" xfId="45" applyAlignment="1" applyProtection="1">
      <alignment/>
      <protection/>
    </xf>
    <xf numFmtId="0" fontId="50" fillId="0" borderId="0" xfId="0" applyFont="1" applyAlignment="1">
      <alignment/>
    </xf>
    <xf numFmtId="0" fontId="0" fillId="0" borderId="0" xfId="0" applyAlignment="1">
      <alignment horizontal="justify"/>
    </xf>
    <xf numFmtId="0" fontId="40" fillId="0" borderId="0" xfId="0" applyFont="1" applyAlignment="1">
      <alignment horizontal="justify"/>
    </xf>
    <xf numFmtId="3" fontId="40" fillId="0" borderId="0" xfId="0" applyNumberFormat="1" applyFont="1" applyAlignment="1">
      <alignment horizontal="justify"/>
    </xf>
    <xf numFmtId="187" fontId="0" fillId="0" borderId="0" xfId="0" applyNumberFormat="1" applyAlignment="1">
      <alignment/>
    </xf>
    <xf numFmtId="3" fontId="40" fillId="0" borderId="20" xfId="0" applyNumberFormat="1" applyFont="1" applyBorder="1" applyAlignment="1">
      <alignment horizontal="justify"/>
    </xf>
    <xf numFmtId="0" fontId="1" fillId="0" borderId="21" xfId="0" applyFont="1" applyBorder="1" applyAlignment="1">
      <alignment/>
    </xf>
    <xf numFmtId="3" fontId="40" fillId="0" borderId="22" xfId="0" applyNumberFormat="1" applyFont="1" applyBorder="1" applyAlignment="1">
      <alignment horizontal="justify"/>
    </xf>
    <xf numFmtId="3" fontId="40" fillId="0" borderId="23" xfId="0" applyNumberFormat="1" applyFont="1" applyBorder="1" applyAlignment="1">
      <alignment horizontal="justify"/>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40" fillId="0" borderId="28" xfId="0" applyNumberFormat="1" applyFont="1" applyBorder="1" applyAlignment="1">
      <alignment horizontal="justify"/>
    </xf>
    <xf numFmtId="3" fontId="40" fillId="0" borderId="29" xfId="0" applyNumberFormat="1" applyFont="1" applyBorder="1" applyAlignment="1">
      <alignment horizontal="justify"/>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Border="1" applyAlignment="1">
      <alignment/>
    </xf>
    <xf numFmtId="3" fontId="40" fillId="0" borderId="33" xfId="0" applyNumberFormat="1" applyFont="1" applyBorder="1" applyAlignment="1">
      <alignment horizontal="justify"/>
    </xf>
    <xf numFmtId="3" fontId="40" fillId="0" borderId="34" xfId="0" applyNumberFormat="1" applyFont="1" applyBorder="1" applyAlignment="1">
      <alignment horizontal="justify"/>
    </xf>
    <xf numFmtId="3" fontId="40" fillId="0" borderId="35" xfId="0" applyNumberFormat="1" applyFont="1" applyBorder="1" applyAlignment="1">
      <alignment horizontal="justify"/>
    </xf>
    <xf numFmtId="0" fontId="40" fillId="0" borderId="36" xfId="0" applyFont="1" applyBorder="1" applyAlignment="1">
      <alignment horizontal="center" wrapText="1"/>
    </xf>
    <xf numFmtId="0" fontId="40" fillId="0" borderId="37" xfId="0" applyFont="1" applyBorder="1" applyAlignment="1">
      <alignment horizontal="center" wrapText="1"/>
    </xf>
    <xf numFmtId="0" fontId="4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9" xfId="0" applyBorder="1" applyAlignment="1">
      <alignment/>
    </xf>
    <xf numFmtId="183" fontId="0" fillId="0" borderId="41" xfId="49" applyFont="1" applyBorder="1" applyAlignment="1">
      <alignment/>
    </xf>
    <xf numFmtId="0" fontId="0" fillId="0" borderId="31" xfId="0" applyBorder="1" applyAlignment="1">
      <alignment/>
    </xf>
    <xf numFmtId="3" fontId="40" fillId="0" borderId="31" xfId="0" applyNumberFormat="1" applyFont="1" applyBorder="1" applyAlignment="1">
      <alignment horizontal="justify"/>
    </xf>
    <xf numFmtId="183" fontId="0" fillId="0" borderId="32" xfId="49" applyFont="1" applyBorder="1" applyAlignment="1">
      <alignment/>
    </xf>
    <xf numFmtId="0" fontId="0" fillId="0" borderId="34" xfId="0" applyBorder="1" applyAlignment="1">
      <alignment/>
    </xf>
    <xf numFmtId="183" fontId="0" fillId="0" borderId="35" xfId="49" applyFont="1" applyBorder="1" applyAlignment="1">
      <alignment/>
    </xf>
    <xf numFmtId="0" fontId="0" fillId="0" borderId="37" xfId="0" applyBorder="1" applyAlignment="1">
      <alignment/>
    </xf>
    <xf numFmtId="0" fontId="43" fillId="0" borderId="37" xfId="0" applyFont="1" applyBorder="1" applyAlignment="1">
      <alignment horizontal="justify"/>
    </xf>
    <xf numFmtId="0" fontId="43" fillId="0" borderId="38" xfId="0" applyFont="1" applyBorder="1" applyAlignment="1">
      <alignment horizontal="justify"/>
    </xf>
    <xf numFmtId="0" fontId="0" fillId="0" borderId="42" xfId="0" applyBorder="1" applyAlignment="1">
      <alignment/>
    </xf>
    <xf numFmtId="3" fontId="40" fillId="0" borderId="42" xfId="0" applyNumberFormat="1" applyFont="1" applyBorder="1" applyAlignment="1">
      <alignment horizontal="justify"/>
    </xf>
    <xf numFmtId="0" fontId="0" fillId="0" borderId="43" xfId="0" applyBorder="1" applyAlignment="1">
      <alignment/>
    </xf>
    <xf numFmtId="3" fontId="40" fillId="0" borderId="43" xfId="0" applyNumberFormat="1" applyFont="1" applyBorder="1" applyAlignment="1">
      <alignment horizontal="justify"/>
    </xf>
    <xf numFmtId="0" fontId="44" fillId="0" borderId="33" xfId="0" applyFont="1" applyBorder="1" applyAlignment="1">
      <alignment horizontal="justify"/>
    </xf>
    <xf numFmtId="0" fontId="44" fillId="0" borderId="28" xfId="0" applyFont="1" applyBorder="1" applyAlignment="1">
      <alignment horizontal="justify"/>
    </xf>
    <xf numFmtId="0" fontId="44" fillId="0" borderId="30" xfId="0" applyFont="1" applyBorder="1" applyAlignment="1">
      <alignment horizontal="justify"/>
    </xf>
    <xf numFmtId="0" fontId="1" fillId="0" borderId="36" xfId="0" applyFont="1" applyBorder="1" applyAlignment="1">
      <alignment horizontal="justify"/>
    </xf>
    <xf numFmtId="0" fontId="44" fillId="0" borderId="44" xfId="0" applyFont="1" applyBorder="1" applyAlignment="1">
      <alignment horizontal="justify"/>
    </xf>
    <xf numFmtId="0" fontId="44" fillId="0" borderId="45" xfId="0" applyFont="1" applyBorder="1" applyAlignment="1">
      <alignment horizontal="justify"/>
    </xf>
    <xf numFmtId="0" fontId="51" fillId="0" borderId="46" xfId="0" applyFont="1" applyBorder="1" applyAlignment="1">
      <alignment horizontal="justify"/>
    </xf>
    <xf numFmtId="0" fontId="51" fillId="0" borderId="47" xfId="0" applyFont="1" applyBorder="1" applyAlignment="1">
      <alignment horizontal="justify"/>
    </xf>
    <xf numFmtId="0" fontId="44" fillId="0" borderId="48" xfId="0" applyFont="1" applyBorder="1" applyAlignment="1">
      <alignment horizontal="justify"/>
    </xf>
    <xf numFmtId="0" fontId="0" fillId="0" borderId="49" xfId="0" applyBorder="1" applyAlignment="1">
      <alignment/>
    </xf>
    <xf numFmtId="3" fontId="40" fillId="0" borderId="49" xfId="0" applyNumberFormat="1" applyFont="1" applyBorder="1" applyAlignment="1">
      <alignment horizontal="justify"/>
    </xf>
    <xf numFmtId="187" fontId="25" fillId="0" borderId="0" xfId="0" applyNumberFormat="1" applyFont="1" applyAlignment="1">
      <alignment horizontal="left"/>
    </xf>
    <xf numFmtId="0" fontId="8" fillId="0" borderId="0" xfId="59">
      <alignment/>
      <protection/>
    </xf>
    <xf numFmtId="0" fontId="8" fillId="0" borderId="0" xfId="59" applyAlignment="1">
      <alignment horizontal="center"/>
      <protection/>
    </xf>
    <xf numFmtId="0" fontId="20" fillId="0" borderId="0" xfId="59" applyFont="1">
      <alignment/>
      <protection/>
    </xf>
    <xf numFmtId="0" fontId="45" fillId="0" borderId="0" xfId="59" applyFont="1">
      <alignment/>
      <protection/>
    </xf>
    <xf numFmtId="0" fontId="52" fillId="37" borderId="50" xfId="59" applyFont="1" applyFill="1" applyBorder="1" applyAlignment="1">
      <alignment horizontal="center"/>
      <protection/>
    </xf>
    <xf numFmtId="197" fontId="8" fillId="0" borderId="0" xfId="59" applyNumberFormat="1">
      <alignment/>
      <protection/>
    </xf>
    <xf numFmtId="197" fontId="8" fillId="0" borderId="51" xfId="59" applyNumberFormat="1" applyBorder="1">
      <alignment/>
      <protection/>
    </xf>
    <xf numFmtId="179" fontId="13" fillId="34" borderId="0" xfId="53" applyNumberFormat="1" applyFont="1" applyFill="1" applyAlignment="1">
      <alignment/>
    </xf>
    <xf numFmtId="179" fontId="8" fillId="0" borderId="0" xfId="59" applyNumberFormat="1">
      <alignment/>
      <protection/>
    </xf>
    <xf numFmtId="0" fontId="29" fillId="0" borderId="0" xfId="59" applyFont="1" applyAlignment="1">
      <alignment horizontal="center"/>
      <protection/>
    </xf>
    <xf numFmtId="0" fontId="47" fillId="0" borderId="0" xfId="59" applyFont="1">
      <alignment/>
      <protection/>
    </xf>
    <xf numFmtId="0" fontId="13" fillId="0" borderId="0" xfId="59" applyFont="1" applyAlignment="1">
      <alignment horizontal="center"/>
      <protection/>
    </xf>
    <xf numFmtId="0" fontId="46" fillId="0" borderId="52" xfId="59" applyFont="1" applyBorder="1" applyAlignment="1">
      <alignment horizontal="center"/>
      <protection/>
    </xf>
    <xf numFmtId="0" fontId="13" fillId="0" borderId="52" xfId="59" applyFont="1" applyBorder="1" applyAlignment="1">
      <alignment horizontal="center"/>
      <protection/>
    </xf>
    <xf numFmtId="0" fontId="8" fillId="0" borderId="52" xfId="59" applyBorder="1">
      <alignment/>
      <protection/>
    </xf>
    <xf numFmtId="0" fontId="13" fillId="32" borderId="52" xfId="59" applyNumberFormat="1" applyFont="1" applyFill="1" applyBorder="1" applyAlignment="1">
      <alignment horizontal="center" vertical="center"/>
      <protection/>
    </xf>
    <xf numFmtId="197" fontId="13" fillId="32" borderId="53" xfId="53" applyNumberFormat="1" applyFont="1" applyFill="1" applyBorder="1" applyAlignment="1">
      <alignment/>
    </xf>
    <xf numFmtId="0" fontId="8" fillId="38" borderId="54" xfId="59" applyFill="1" applyBorder="1" applyAlignment="1">
      <alignment horizontal="center"/>
      <protection/>
    </xf>
    <xf numFmtId="2" fontId="8" fillId="38" borderId="55" xfId="59" applyNumberFormat="1" applyFill="1" applyBorder="1">
      <alignment/>
      <protection/>
    </xf>
    <xf numFmtId="185" fontId="45" fillId="38" borderId="55" xfId="59" applyNumberFormat="1" applyFont="1" applyFill="1" applyBorder="1">
      <alignment/>
      <protection/>
    </xf>
    <xf numFmtId="197" fontId="45" fillId="38" borderId="56" xfId="53" applyNumberFormat="1" applyFont="1" applyFill="1" applyBorder="1" applyAlignment="1">
      <alignment/>
    </xf>
    <xf numFmtId="0" fontId="8" fillId="38" borderId="50" xfId="59" applyFill="1" applyBorder="1" applyAlignment="1">
      <alignment horizontal="center"/>
      <protection/>
    </xf>
    <xf numFmtId="2" fontId="8" fillId="38" borderId="57" xfId="59" applyNumberFormat="1" applyFill="1" applyBorder="1">
      <alignment/>
      <protection/>
    </xf>
    <xf numFmtId="185" fontId="45" fillId="38" borderId="57" xfId="59" applyNumberFormat="1" applyFont="1" applyFill="1" applyBorder="1">
      <alignment/>
      <protection/>
    </xf>
    <xf numFmtId="197" fontId="45" fillId="38" borderId="58" xfId="53" applyNumberFormat="1" applyFont="1" applyFill="1" applyBorder="1" applyAlignment="1">
      <alignment/>
    </xf>
    <xf numFmtId="183" fontId="0" fillId="38" borderId="41" xfId="49" applyFont="1" applyFill="1" applyBorder="1" applyAlignment="1">
      <alignment/>
    </xf>
    <xf numFmtId="183" fontId="0" fillId="38" borderId="32" xfId="49" applyFont="1" applyFill="1" applyBorder="1" applyAlignment="1">
      <alignment/>
    </xf>
    <xf numFmtId="0" fontId="1" fillId="0" borderId="40" xfId="0" applyFont="1" applyBorder="1" applyAlignment="1">
      <alignment horizontal="center" vertical="center"/>
    </xf>
    <xf numFmtId="183" fontId="1" fillId="0" borderId="59" xfId="49" applyFont="1" applyBorder="1" applyAlignment="1">
      <alignment/>
    </xf>
    <xf numFmtId="179" fontId="0" fillId="0" borderId="39" xfId="0" applyNumberFormat="1" applyBorder="1" applyAlignment="1">
      <alignment/>
    </xf>
    <xf numFmtId="0" fontId="17" fillId="0" borderId="0" xfId="59" applyFont="1" applyAlignment="1">
      <alignment horizontal="right" vertical="top"/>
      <protection/>
    </xf>
    <xf numFmtId="0" fontId="53" fillId="34" borderId="13" xfId="0" applyFont="1" applyFill="1" applyBorder="1" applyAlignment="1">
      <alignment horizontal="left"/>
    </xf>
    <xf numFmtId="9" fontId="32" fillId="39" borderId="0" xfId="0" applyNumberFormat="1" applyFont="1" applyFill="1" applyBorder="1" applyAlignment="1">
      <alignment/>
    </xf>
    <xf numFmtId="9" fontId="0" fillId="39" borderId="0" xfId="0" applyNumberFormat="1" applyFont="1" applyFill="1" applyBorder="1" applyAlignment="1">
      <alignment/>
    </xf>
    <xf numFmtId="14" fontId="84" fillId="0" borderId="0" xfId="0" applyNumberFormat="1" applyFont="1" applyBorder="1" applyAlignment="1">
      <alignment horizontal="center"/>
    </xf>
    <xf numFmtId="0" fontId="54" fillId="0" borderId="0" xfId="0" applyFont="1" applyBorder="1" applyAlignment="1">
      <alignment/>
    </xf>
    <xf numFmtId="183" fontId="54" fillId="0" borderId="0" xfId="49" applyFont="1" applyBorder="1" applyAlignment="1">
      <alignment/>
    </xf>
    <xf numFmtId="0" fontId="84" fillId="0" borderId="0" xfId="0" applyFont="1" applyBorder="1" applyAlignment="1">
      <alignment horizontal="center"/>
    </xf>
    <xf numFmtId="0" fontId="54" fillId="0" borderId="0" xfId="0" applyFont="1" applyBorder="1" applyAlignment="1">
      <alignment horizontal="center"/>
    </xf>
    <xf numFmtId="10" fontId="54" fillId="0" borderId="0" xfId="0" applyNumberFormat="1" applyFont="1" applyBorder="1" applyAlignment="1">
      <alignment/>
    </xf>
    <xf numFmtId="183" fontId="54" fillId="0" borderId="0" xfId="49" applyFont="1" applyFill="1" applyBorder="1" applyAlignment="1">
      <alignment/>
    </xf>
    <xf numFmtId="0" fontId="85" fillId="0" borderId="0" xfId="0" applyFont="1" applyBorder="1" applyAlignment="1">
      <alignment/>
    </xf>
    <xf numFmtId="0" fontId="85" fillId="0" borderId="0" xfId="0" applyFont="1" applyBorder="1" applyAlignment="1">
      <alignment horizontal="center"/>
    </xf>
    <xf numFmtId="0" fontId="60" fillId="0" borderId="0" xfId="0" applyFont="1" applyBorder="1" applyAlignment="1">
      <alignment horizontal="right" vertical="center"/>
    </xf>
    <xf numFmtId="0" fontId="60" fillId="0" borderId="0" xfId="0" applyFont="1" applyBorder="1" applyAlignment="1">
      <alignment/>
    </xf>
    <xf numFmtId="0" fontId="86" fillId="35" borderId="0" xfId="0" applyFont="1" applyFill="1" applyBorder="1" applyAlignment="1">
      <alignment horizontal="center"/>
    </xf>
    <xf numFmtId="0" fontId="85" fillId="0" borderId="0" xfId="0" applyFont="1" applyBorder="1" applyAlignment="1">
      <alignment horizontal="left"/>
    </xf>
    <xf numFmtId="0" fontId="60" fillId="0" borderId="0" xfId="0" applyFont="1" applyFill="1" applyBorder="1" applyAlignment="1">
      <alignment horizontal="right"/>
    </xf>
    <xf numFmtId="183" fontId="60" fillId="0" borderId="0" xfId="49" applyFont="1" applyFill="1" applyBorder="1" applyAlignment="1">
      <alignment/>
    </xf>
    <xf numFmtId="183" fontId="60" fillId="0" borderId="0" xfId="0" applyNumberFormat="1" applyFont="1" applyFill="1" applyBorder="1" applyAlignment="1">
      <alignment/>
    </xf>
    <xf numFmtId="0" fontId="60" fillId="0" borderId="0" xfId="0" applyFont="1" applyFill="1" applyBorder="1" applyAlignment="1">
      <alignment/>
    </xf>
    <xf numFmtId="183" fontId="60" fillId="0" borderId="0" xfId="49" applyFont="1" applyFill="1" applyBorder="1" applyAlignment="1">
      <alignment horizontal="center"/>
    </xf>
    <xf numFmtId="0" fontId="85" fillId="0" borderId="0" xfId="0" applyFont="1" applyFill="1" applyBorder="1" applyAlignment="1">
      <alignment/>
    </xf>
    <xf numFmtId="0" fontId="85" fillId="0" borderId="0" xfId="0" applyFont="1" applyFill="1" applyBorder="1" applyAlignment="1">
      <alignment horizontal="left"/>
    </xf>
    <xf numFmtId="0" fontId="54" fillId="0" borderId="0" xfId="0" applyFont="1" applyFill="1" applyBorder="1" applyAlignment="1">
      <alignment/>
    </xf>
    <xf numFmtId="0" fontId="60" fillId="0" borderId="0" xfId="0" applyFont="1" applyBorder="1" applyAlignment="1">
      <alignment horizontal="right"/>
    </xf>
    <xf numFmtId="183" fontId="54" fillId="40" borderId="0" xfId="49" applyFont="1" applyFill="1" applyBorder="1" applyAlignment="1">
      <alignment/>
    </xf>
    <xf numFmtId="183" fontId="86" fillId="0" borderId="0" xfId="49" applyFont="1" applyFill="1" applyBorder="1" applyAlignment="1">
      <alignment/>
    </xf>
    <xf numFmtId="182" fontId="85" fillId="0" borderId="0" xfId="54" applyFont="1" applyBorder="1" applyAlignment="1">
      <alignment/>
    </xf>
    <xf numFmtId="2" fontId="54" fillId="0" borderId="0" xfId="0" applyNumberFormat="1" applyFont="1" applyBorder="1" applyAlignment="1">
      <alignment/>
    </xf>
    <xf numFmtId="0" fontId="60" fillId="0" borderId="60" xfId="0" applyFont="1" applyBorder="1" applyAlignment="1">
      <alignment/>
    </xf>
    <xf numFmtId="183" fontId="54" fillId="0" borderId="61" xfId="49" applyFont="1" applyBorder="1" applyAlignment="1">
      <alignment/>
    </xf>
    <xf numFmtId="0" fontId="54" fillId="0" borderId="61" xfId="0" applyFont="1" applyBorder="1" applyAlignment="1">
      <alignment horizontal="center"/>
    </xf>
    <xf numFmtId="0" fontId="54" fillId="0" borderId="61" xfId="0" applyFont="1" applyBorder="1" applyAlignment="1">
      <alignment/>
    </xf>
    <xf numFmtId="183" fontId="60" fillId="0" borderId="62" xfId="0" applyNumberFormat="1" applyFont="1" applyBorder="1" applyAlignment="1">
      <alignment/>
    </xf>
    <xf numFmtId="0" fontId="85" fillId="0" borderId="63" xfId="0" applyFont="1" applyBorder="1" applyAlignment="1">
      <alignment horizontal="center"/>
    </xf>
    <xf numFmtId="0" fontId="54" fillId="0" borderId="0" xfId="0" applyFont="1" applyBorder="1" applyAlignment="1">
      <alignment horizontal="left"/>
    </xf>
    <xf numFmtId="204" fontId="85" fillId="0" borderId="0" xfId="0" applyNumberFormat="1" applyFont="1" applyBorder="1" applyAlignment="1">
      <alignment horizontal="center"/>
    </xf>
    <xf numFmtId="183" fontId="54" fillId="35" borderId="52" xfId="49" applyFont="1" applyFill="1" applyBorder="1" applyAlignment="1">
      <alignment/>
    </xf>
    <xf numFmtId="183" fontId="87" fillId="0" borderId="14" xfId="49" applyFont="1" applyBorder="1" applyAlignment="1">
      <alignment/>
    </xf>
    <xf numFmtId="183" fontId="87" fillId="0" borderId="52" xfId="49" applyFont="1" applyBorder="1" applyAlignment="1">
      <alignment/>
    </xf>
    <xf numFmtId="183" fontId="54" fillId="0" borderId="52" xfId="49" applyFont="1" applyBorder="1" applyAlignment="1">
      <alignment/>
    </xf>
    <xf numFmtId="10" fontId="54" fillId="0" borderId="14" xfId="63" applyNumberFormat="1" applyFont="1" applyBorder="1" applyAlignment="1">
      <alignment/>
    </xf>
    <xf numFmtId="9" fontId="54" fillId="0" borderId="52" xfId="63" applyNumberFormat="1" applyFont="1" applyBorder="1" applyAlignment="1">
      <alignment horizontal="center"/>
    </xf>
    <xf numFmtId="10" fontId="54" fillId="0" borderId="52" xfId="63" applyNumberFormat="1" applyFont="1" applyBorder="1" applyAlignment="1">
      <alignment/>
    </xf>
    <xf numFmtId="183" fontId="54" fillId="0" borderId="14" xfId="49" applyFont="1" applyBorder="1" applyAlignment="1">
      <alignment/>
    </xf>
    <xf numFmtId="183" fontId="54" fillId="0" borderId="0" xfId="0" applyNumberFormat="1" applyFont="1" applyBorder="1" applyAlignment="1">
      <alignment/>
    </xf>
    <xf numFmtId="204" fontId="88" fillId="0" borderId="14" xfId="0" applyNumberFormat="1" applyFont="1" applyBorder="1" applyAlignment="1">
      <alignment horizontal="right"/>
    </xf>
    <xf numFmtId="183" fontId="54" fillId="0" borderId="0" xfId="0" applyNumberFormat="1" applyFont="1" applyBorder="1" applyAlignment="1">
      <alignment horizontal="left"/>
    </xf>
    <xf numFmtId="0" fontId="54" fillId="0" borderId="64" xfId="0" applyFont="1" applyBorder="1" applyAlignment="1">
      <alignment/>
    </xf>
    <xf numFmtId="183" fontId="54" fillId="0" borderId="64" xfId="49" applyFont="1" applyBorder="1" applyAlignment="1">
      <alignment/>
    </xf>
    <xf numFmtId="0" fontId="54" fillId="0" borderId="64" xfId="0" applyFont="1" applyBorder="1" applyAlignment="1">
      <alignment horizontal="center"/>
    </xf>
    <xf numFmtId="10" fontId="54" fillId="0" borderId="64" xfId="63" applyNumberFormat="1" applyFont="1" applyBorder="1" applyAlignment="1">
      <alignment/>
    </xf>
    <xf numFmtId="183" fontId="87" fillId="0" borderId="64" xfId="49" applyFont="1" applyBorder="1" applyAlignment="1">
      <alignment/>
    </xf>
    <xf numFmtId="2" fontId="54" fillId="0" borderId="64" xfId="0" applyNumberFormat="1" applyFont="1" applyBorder="1" applyAlignment="1">
      <alignment/>
    </xf>
    <xf numFmtId="204" fontId="88" fillId="0" borderId="0" xfId="0" applyNumberFormat="1" applyFont="1" applyBorder="1" applyAlignment="1">
      <alignment horizontal="right"/>
    </xf>
    <xf numFmtId="183" fontId="85" fillId="0" borderId="14" xfId="0" applyNumberFormat="1" applyFont="1" applyBorder="1" applyAlignment="1">
      <alignment horizontal="center"/>
    </xf>
    <xf numFmtId="183" fontId="54" fillId="35" borderId="52" xfId="49" applyFont="1" applyFill="1" applyBorder="1" applyAlignment="1">
      <alignment horizontal="center"/>
    </xf>
    <xf numFmtId="2" fontId="54" fillId="0" borderId="14" xfId="0" applyNumberFormat="1" applyFont="1" applyBorder="1" applyAlignment="1">
      <alignment/>
    </xf>
    <xf numFmtId="0" fontId="54" fillId="0" borderId="14" xfId="0" applyFont="1" applyBorder="1" applyAlignment="1">
      <alignment/>
    </xf>
    <xf numFmtId="183" fontId="85" fillId="0" borderId="0" xfId="0" applyNumberFormat="1" applyFont="1" applyBorder="1" applyAlignment="1">
      <alignment horizontal="center"/>
    </xf>
    <xf numFmtId="183" fontId="54" fillId="41" borderId="64" xfId="49" applyFont="1" applyFill="1" applyBorder="1" applyAlignment="1">
      <alignment/>
    </xf>
    <xf numFmtId="0" fontId="54" fillId="41" borderId="64" xfId="0" applyFont="1" applyFill="1" applyBorder="1" applyAlignment="1">
      <alignment horizontal="left"/>
    </xf>
    <xf numFmtId="10" fontId="54" fillId="41" borderId="64" xfId="63" applyNumberFormat="1" applyFont="1" applyFill="1" applyBorder="1" applyAlignment="1">
      <alignment/>
    </xf>
    <xf numFmtId="183" fontId="54" fillId="35" borderId="64" xfId="49" applyFont="1" applyFill="1" applyBorder="1" applyAlignment="1">
      <alignment horizontal="center"/>
    </xf>
    <xf numFmtId="183" fontId="89" fillId="0" borderId="64" xfId="49" applyFont="1" applyBorder="1" applyAlignment="1">
      <alignment horizontal="center"/>
    </xf>
    <xf numFmtId="10" fontId="89" fillId="0" borderId="64" xfId="63" applyNumberFormat="1" applyFont="1" applyBorder="1" applyAlignment="1">
      <alignment/>
    </xf>
    <xf numFmtId="183" fontId="89" fillId="0" borderId="0" xfId="49" applyFont="1" applyBorder="1" applyAlignment="1">
      <alignment/>
    </xf>
    <xf numFmtId="10" fontId="54" fillId="0" borderId="0" xfId="63" applyNumberFormat="1" applyFont="1" applyBorder="1" applyAlignment="1">
      <alignment/>
    </xf>
    <xf numFmtId="183" fontId="87" fillId="0" borderId="0" xfId="49" applyFont="1" applyBorder="1" applyAlignment="1">
      <alignment/>
    </xf>
    <xf numFmtId="10" fontId="54" fillId="0" borderId="16" xfId="63" applyNumberFormat="1" applyFont="1" applyFill="1" applyBorder="1" applyAlignment="1">
      <alignment/>
    </xf>
    <xf numFmtId="183" fontId="54" fillId="0" borderId="14" xfId="49" applyFont="1" applyFill="1" applyBorder="1" applyAlignment="1">
      <alignment/>
    </xf>
    <xf numFmtId="183" fontId="89" fillId="0" borderId="64" xfId="49" applyFont="1" applyBorder="1" applyAlignment="1">
      <alignment/>
    </xf>
    <xf numFmtId="183" fontId="84" fillId="0" borderId="0" xfId="0" applyNumberFormat="1" applyFont="1" applyBorder="1" applyAlignment="1">
      <alignment horizontal="center"/>
    </xf>
    <xf numFmtId="183" fontId="54" fillId="34" borderId="13" xfId="49" applyFont="1" applyFill="1" applyBorder="1" applyAlignment="1">
      <alignment/>
    </xf>
    <xf numFmtId="0" fontId="54" fillId="34" borderId="65" xfId="0" applyFont="1" applyFill="1" applyBorder="1" applyAlignment="1">
      <alignment/>
    </xf>
    <xf numFmtId="10" fontId="54" fillId="0" borderId="66" xfId="0" applyNumberFormat="1" applyFont="1" applyBorder="1" applyAlignment="1">
      <alignment/>
    </xf>
    <xf numFmtId="183" fontId="54" fillId="0" borderId="13" xfId="49" applyFont="1" applyBorder="1" applyAlignment="1">
      <alignment/>
    </xf>
    <xf numFmtId="183" fontId="54" fillId="0" borderId="65" xfId="49" applyFont="1" applyBorder="1" applyAlignment="1">
      <alignment/>
    </xf>
    <xf numFmtId="183" fontId="54" fillId="0" borderId="67" xfId="49" applyFont="1" applyBorder="1" applyAlignment="1">
      <alignment/>
    </xf>
    <xf numFmtId="10" fontId="54" fillId="0" borderId="16" xfId="0" applyNumberFormat="1" applyFont="1" applyBorder="1" applyAlignment="1">
      <alignment/>
    </xf>
    <xf numFmtId="183" fontId="54" fillId="0" borderId="17" xfId="49" applyFont="1" applyBorder="1" applyAlignment="1">
      <alignment/>
    </xf>
    <xf numFmtId="0" fontId="54" fillId="0" borderId="16" xfId="0" applyFont="1" applyBorder="1" applyAlignment="1">
      <alignment/>
    </xf>
    <xf numFmtId="183" fontId="89" fillId="0" borderId="14" xfId="49" applyFont="1" applyBorder="1" applyAlignment="1">
      <alignment/>
    </xf>
    <xf numFmtId="0" fontId="54" fillId="0" borderId="0" xfId="0" applyFont="1" applyFill="1" applyBorder="1" applyAlignment="1">
      <alignment horizontal="center"/>
    </xf>
    <xf numFmtId="183" fontId="90" fillId="0" borderId="0" xfId="49" applyFont="1" applyBorder="1" applyAlignment="1">
      <alignment/>
    </xf>
    <xf numFmtId="0" fontId="60" fillId="0" borderId="14" xfId="0" applyFont="1" applyBorder="1" applyAlignment="1">
      <alignment/>
    </xf>
    <xf numFmtId="0" fontId="54" fillId="35" borderId="0" xfId="0" applyFont="1" applyFill="1" applyBorder="1" applyAlignment="1">
      <alignment/>
    </xf>
    <xf numFmtId="0" fontId="54" fillId="35" borderId="0" xfId="0" applyFont="1" applyFill="1" applyBorder="1" applyAlignment="1">
      <alignment horizontal="left"/>
    </xf>
    <xf numFmtId="0" fontId="60" fillId="0" borderId="14" xfId="0" applyFont="1" applyBorder="1" applyAlignment="1">
      <alignment horizontal="left"/>
    </xf>
    <xf numFmtId="0" fontId="54" fillId="0" borderId="14" xfId="0" applyFont="1" applyBorder="1" applyAlignment="1">
      <alignment horizontal="center"/>
    </xf>
    <xf numFmtId="183" fontId="54" fillId="0" borderId="14" xfId="49" applyFont="1" applyBorder="1" applyAlignment="1">
      <alignment horizontal="center"/>
    </xf>
    <xf numFmtId="183" fontId="60" fillId="0" borderId="14" xfId="49" applyFont="1" applyBorder="1" applyAlignment="1">
      <alignment horizontal="center"/>
    </xf>
    <xf numFmtId="4" fontId="91" fillId="35" borderId="0" xfId="49" applyNumberFormat="1" applyFont="1" applyFill="1" applyBorder="1" applyAlignment="1">
      <alignment horizontal="right"/>
    </xf>
    <xf numFmtId="4" fontId="91" fillId="35" borderId="0" xfId="0" applyNumberFormat="1" applyFont="1" applyFill="1" applyBorder="1" applyAlignment="1">
      <alignment horizontal="right"/>
    </xf>
    <xf numFmtId="0" fontId="54" fillId="0" borderId="0" xfId="0" applyFont="1" applyFill="1" applyBorder="1" applyAlignment="1">
      <alignment horizontal="left"/>
    </xf>
    <xf numFmtId="4" fontId="91" fillId="0" borderId="0" xfId="0" applyNumberFormat="1" applyFont="1" applyFill="1" applyBorder="1" applyAlignment="1">
      <alignment horizontal="right"/>
    </xf>
    <xf numFmtId="0" fontId="60" fillId="0" borderId="14" xfId="0" applyFont="1" applyFill="1" applyBorder="1" applyAlignment="1">
      <alignment horizontal="left"/>
    </xf>
    <xf numFmtId="4" fontId="91" fillId="0" borderId="14" xfId="0" applyNumberFormat="1" applyFont="1" applyFill="1" applyBorder="1" applyAlignment="1">
      <alignment horizontal="right"/>
    </xf>
    <xf numFmtId="183" fontId="54" fillId="0" borderId="0" xfId="49" applyFont="1" applyBorder="1" applyAlignment="1">
      <alignment horizontal="center"/>
    </xf>
    <xf numFmtId="183" fontId="60" fillId="0" borderId="0" xfId="49" applyFont="1" applyBorder="1" applyAlignment="1">
      <alignment horizontal="left"/>
    </xf>
    <xf numFmtId="179" fontId="54" fillId="0" borderId="0" xfId="0" applyNumberFormat="1" applyFont="1" applyBorder="1" applyAlignment="1">
      <alignment/>
    </xf>
    <xf numFmtId="0" fontId="89" fillId="35" borderId="0" xfId="0" applyFont="1" applyFill="1" applyBorder="1" applyAlignment="1">
      <alignment/>
    </xf>
    <xf numFmtId="183" fontId="92" fillId="0" borderId="0" xfId="49" applyFont="1" applyBorder="1" applyAlignment="1">
      <alignment/>
    </xf>
    <xf numFmtId="0" fontId="93" fillId="0" borderId="68" xfId="0" applyFont="1" applyBorder="1" applyAlignment="1">
      <alignment horizontal="justify"/>
    </xf>
    <xf numFmtId="0" fontId="54" fillId="0" borderId="0" xfId="0" applyFont="1" applyAlignment="1">
      <alignment/>
    </xf>
    <xf numFmtId="4" fontId="91" fillId="0" borderId="0" xfId="49" applyNumberFormat="1" applyFont="1" applyBorder="1" applyAlignment="1">
      <alignment horizontal="right"/>
    </xf>
    <xf numFmtId="0" fontId="60" fillId="0" borderId="14" xfId="0" applyFont="1" applyFill="1" applyBorder="1" applyAlignment="1">
      <alignment/>
    </xf>
    <xf numFmtId="4" fontId="94" fillId="0" borderId="14" xfId="64" applyNumberFormat="1" applyFont="1" applyFill="1" applyBorder="1" applyAlignment="1">
      <alignment horizontal="right"/>
    </xf>
    <xf numFmtId="183" fontId="95" fillId="0" borderId="0" xfId="49" applyFont="1" applyBorder="1" applyAlignment="1">
      <alignment horizontal="left"/>
    </xf>
    <xf numFmtId="0" fontId="91" fillId="35" borderId="0" xfId="0" applyFont="1" applyFill="1" applyBorder="1" applyAlignment="1">
      <alignment/>
    </xf>
    <xf numFmtId="197" fontId="91" fillId="35" borderId="0" xfId="49" applyNumberFormat="1" applyFont="1" applyFill="1" applyBorder="1" applyAlignment="1">
      <alignment/>
    </xf>
    <xf numFmtId="0" fontId="54" fillId="0" borderId="0" xfId="0" applyFont="1" applyBorder="1" applyAlignment="1">
      <alignment/>
    </xf>
    <xf numFmtId="183" fontId="54" fillId="35" borderId="0" xfId="49" applyFont="1" applyFill="1" applyBorder="1" applyAlignment="1">
      <alignment/>
    </xf>
    <xf numFmtId="0" fontId="89" fillId="40" borderId="14" xfId="0" applyFont="1" applyFill="1" applyBorder="1" applyAlignment="1">
      <alignment/>
    </xf>
    <xf numFmtId="183" fontId="54" fillId="40" borderId="14" xfId="49" applyFont="1" applyFill="1" applyBorder="1" applyAlignment="1">
      <alignment/>
    </xf>
    <xf numFmtId="0" fontId="89" fillId="40" borderId="0" xfId="0" applyFont="1" applyFill="1" applyBorder="1" applyAlignment="1">
      <alignment/>
    </xf>
    <xf numFmtId="183" fontId="91" fillId="0" borderId="14" xfId="49" applyFont="1" applyFill="1" applyBorder="1" applyAlignment="1">
      <alignment/>
    </xf>
    <xf numFmtId="183" fontId="91" fillId="0" borderId="0" xfId="49" applyFont="1" applyFill="1" applyBorder="1" applyAlignment="1">
      <alignment/>
    </xf>
    <xf numFmtId="183" fontId="91" fillId="0" borderId="0" xfId="49" applyFont="1" applyBorder="1" applyAlignment="1">
      <alignment/>
    </xf>
    <xf numFmtId="183" fontId="91" fillId="0" borderId="14" xfId="49" applyFont="1" applyBorder="1" applyAlignment="1">
      <alignment/>
    </xf>
    <xf numFmtId="183" fontId="91" fillId="35" borderId="0" xfId="49" applyFont="1" applyFill="1" applyBorder="1" applyAlignment="1">
      <alignment/>
    </xf>
    <xf numFmtId="188" fontId="96" fillId="0" borderId="0" xfId="49" applyNumberFormat="1" applyFont="1" applyBorder="1" applyAlignment="1">
      <alignment/>
    </xf>
    <xf numFmtId="0" fontId="133" fillId="23" borderId="66" xfId="38" applyBorder="1" applyAlignment="1">
      <alignment horizontal="center"/>
    </xf>
    <xf numFmtId="183" fontId="133" fillId="23" borderId="67" xfId="38" applyNumberFormat="1" applyBorder="1" applyAlignment="1">
      <alignment horizontal="center"/>
    </xf>
    <xf numFmtId="195" fontId="133" fillId="23" borderId="13" xfId="38" applyNumberFormat="1" applyBorder="1" applyAlignment="1">
      <alignment horizontal="center"/>
    </xf>
    <xf numFmtId="0" fontId="133" fillId="23" borderId="67" xfId="38" applyBorder="1" applyAlignment="1">
      <alignment horizontal="center"/>
    </xf>
    <xf numFmtId="183" fontId="133" fillId="23" borderId="13" xfId="38" applyNumberFormat="1" applyBorder="1" applyAlignment="1">
      <alignment horizontal="center"/>
    </xf>
    <xf numFmtId="0" fontId="133" fillId="23" borderId="65" xfId="38" applyBorder="1" applyAlignment="1">
      <alignment horizontal="center"/>
    </xf>
    <xf numFmtId="183" fontId="133" fillId="23" borderId="65" xfId="38" applyNumberFormat="1" applyBorder="1" applyAlignment="1">
      <alignment horizontal="center"/>
    </xf>
    <xf numFmtId="0" fontId="132" fillId="42" borderId="14" xfId="15" applyFill="1" applyBorder="1" applyAlignment="1">
      <alignment wrapText="1"/>
    </xf>
    <xf numFmtId="0" fontId="132" fillId="42" borderId="52" xfId="15" applyNumberFormat="1" applyFill="1" applyBorder="1" applyAlignment="1">
      <alignment horizontal="center" vertical="center"/>
    </xf>
    <xf numFmtId="0" fontId="132" fillId="42" borderId="14" xfId="15" applyFill="1" applyBorder="1" applyAlignment="1">
      <alignment horizontal="center"/>
    </xf>
    <xf numFmtId="10" fontId="132" fillId="42" borderId="52" xfId="15" applyNumberFormat="1" applyFill="1" applyBorder="1" applyAlignment="1">
      <alignment/>
    </xf>
    <xf numFmtId="183" fontId="133" fillId="23" borderId="66" xfId="38" applyNumberFormat="1" applyBorder="1" applyAlignment="1">
      <alignment horizontal="center"/>
    </xf>
    <xf numFmtId="0" fontId="54" fillId="0" borderId="13" xfId="0" applyFont="1" applyBorder="1" applyAlignment="1">
      <alignment/>
    </xf>
    <xf numFmtId="183" fontId="133" fillId="23" borderId="0" xfId="38" applyNumberFormat="1" applyBorder="1" applyAlignment="1">
      <alignment horizontal="center"/>
    </xf>
    <xf numFmtId="0" fontId="133" fillId="23" borderId="0" xfId="38" applyBorder="1" applyAlignment="1">
      <alignment horizontal="center"/>
    </xf>
    <xf numFmtId="0" fontId="54" fillId="42" borderId="14" xfId="0" applyFont="1" applyFill="1" applyBorder="1" applyAlignment="1">
      <alignment/>
    </xf>
    <xf numFmtId="0" fontId="54" fillId="42" borderId="14" xfId="0" applyFont="1" applyFill="1" applyBorder="1" applyAlignment="1">
      <alignment horizontal="center"/>
    </xf>
    <xf numFmtId="10" fontId="54" fillId="42" borderId="52" xfId="63" applyNumberFormat="1" applyFont="1" applyFill="1" applyBorder="1" applyAlignment="1">
      <alignment/>
    </xf>
    <xf numFmtId="0" fontId="54" fillId="42" borderId="14" xfId="0" applyFont="1" applyFill="1" applyBorder="1" applyAlignment="1">
      <alignment wrapText="1"/>
    </xf>
    <xf numFmtId="0" fontId="133" fillId="23" borderId="66" xfId="38" applyBorder="1" applyAlignment="1">
      <alignment horizontal="left"/>
    </xf>
    <xf numFmtId="183" fontId="54" fillId="42" borderId="52" xfId="49" applyFont="1" applyFill="1" applyBorder="1" applyAlignment="1">
      <alignment/>
    </xf>
    <xf numFmtId="183" fontId="54" fillId="42" borderId="14" xfId="49" applyFont="1" applyFill="1" applyBorder="1" applyAlignment="1">
      <alignment/>
    </xf>
    <xf numFmtId="0" fontId="54" fillId="42" borderId="52" xfId="0" applyFont="1" applyFill="1" applyBorder="1" applyAlignment="1">
      <alignment horizontal="left"/>
    </xf>
    <xf numFmtId="10" fontId="54" fillId="42" borderId="14" xfId="63" applyNumberFormat="1" applyFont="1" applyFill="1" applyBorder="1" applyAlignment="1">
      <alignment/>
    </xf>
    <xf numFmtId="183" fontId="54" fillId="42" borderId="64" xfId="49" applyFont="1" applyFill="1" applyBorder="1" applyAlignment="1">
      <alignment/>
    </xf>
    <xf numFmtId="0" fontId="54" fillId="42" borderId="53" xfId="0" applyFont="1" applyFill="1" applyBorder="1" applyAlignment="1">
      <alignment horizontal="left"/>
    </xf>
    <xf numFmtId="183" fontId="54" fillId="42" borderId="67" xfId="49" applyFont="1" applyFill="1" applyBorder="1" applyAlignment="1">
      <alignment/>
    </xf>
    <xf numFmtId="183" fontId="54" fillId="42" borderId="53" xfId="49" applyFont="1" applyFill="1" applyBorder="1" applyAlignment="1">
      <alignment/>
    </xf>
    <xf numFmtId="195" fontId="133" fillId="23" borderId="0" xfId="38" applyNumberFormat="1" applyBorder="1" applyAlignment="1">
      <alignment horizontal="center"/>
    </xf>
    <xf numFmtId="0" fontId="54" fillId="41" borderId="0" xfId="0" applyFont="1" applyFill="1" applyBorder="1" applyAlignment="1">
      <alignment horizontal="left"/>
    </xf>
    <xf numFmtId="0" fontId="54" fillId="42" borderId="16" xfId="0" applyFont="1" applyFill="1" applyBorder="1" applyAlignment="1">
      <alignment horizontal="left"/>
    </xf>
    <xf numFmtId="0" fontId="54" fillId="42" borderId="66" xfId="0" applyFont="1" applyFill="1" applyBorder="1" applyAlignment="1">
      <alignment horizontal="left"/>
    </xf>
    <xf numFmtId="10" fontId="54" fillId="0" borderId="13" xfId="63" applyNumberFormat="1" applyFont="1" applyBorder="1" applyAlignment="1">
      <alignment/>
    </xf>
    <xf numFmtId="183" fontId="88" fillId="0" borderId="13" xfId="49" applyFont="1" applyBorder="1" applyAlignment="1">
      <alignment/>
    </xf>
    <xf numFmtId="183" fontId="133" fillId="23" borderId="0" xfId="38" applyNumberFormat="1" applyBorder="1" applyAlignment="1">
      <alignment horizontal="left"/>
    </xf>
    <xf numFmtId="183" fontId="60" fillId="0" borderId="0" xfId="49" applyFont="1" applyFill="1" applyBorder="1" applyAlignment="1">
      <alignment horizontal="right"/>
    </xf>
    <xf numFmtId="183" fontId="60" fillId="0" borderId="14" xfId="49" applyFont="1" applyBorder="1" applyAlignment="1">
      <alignment/>
    </xf>
    <xf numFmtId="183" fontId="60" fillId="0" borderId="0" xfId="49" applyFont="1" applyBorder="1" applyAlignment="1">
      <alignment/>
    </xf>
    <xf numFmtId="183" fontId="54" fillId="0" borderId="14" xfId="0" applyNumberFormat="1" applyFont="1" applyBorder="1" applyAlignment="1">
      <alignment/>
    </xf>
    <xf numFmtId="0" fontId="86" fillId="0" borderId="0" xfId="0" applyFont="1" applyBorder="1" applyAlignment="1">
      <alignment/>
    </xf>
    <xf numFmtId="10" fontId="54" fillId="0" borderId="67" xfId="63" applyNumberFormat="1" applyFont="1" applyBorder="1" applyAlignment="1">
      <alignment/>
    </xf>
    <xf numFmtId="0" fontId="60" fillId="0" borderId="0" xfId="0" applyFont="1" applyAlignment="1">
      <alignment horizontal="center"/>
    </xf>
    <xf numFmtId="4" fontId="97" fillId="0" borderId="52" xfId="0" applyNumberFormat="1" applyFont="1" applyBorder="1" applyAlignment="1">
      <alignment horizontal="right" vertical="top" wrapText="1"/>
    </xf>
    <xf numFmtId="0" fontId="97" fillId="0" borderId="52" xfId="0" applyFont="1" applyBorder="1" applyAlignment="1">
      <alignment vertical="top" wrapText="1"/>
    </xf>
    <xf numFmtId="0" fontId="97" fillId="0" borderId="52" xfId="0" applyFont="1" applyBorder="1" applyAlignment="1">
      <alignment horizontal="center" vertical="top" wrapText="1"/>
    </xf>
    <xf numFmtId="193" fontId="97" fillId="0" borderId="52" xfId="56" applyNumberFormat="1" applyFont="1" applyBorder="1" applyAlignment="1">
      <alignment horizontal="right" vertical="top" wrapText="1"/>
    </xf>
    <xf numFmtId="0" fontId="60" fillId="0" borderId="52" xfId="0" applyFont="1" applyBorder="1" applyAlignment="1">
      <alignment horizontal="right" vertical="top" wrapText="1"/>
    </xf>
    <xf numFmtId="193" fontId="54" fillId="0" borderId="0" xfId="0" applyNumberFormat="1" applyFont="1" applyAlignment="1">
      <alignment/>
    </xf>
    <xf numFmtId="4" fontId="67" fillId="0" borderId="52" xfId="0" applyNumberFormat="1" applyFont="1" applyBorder="1" applyAlignment="1">
      <alignment horizontal="right" vertical="top" wrapText="1"/>
    </xf>
    <xf numFmtId="0" fontId="67" fillId="0" borderId="52" xfId="0" applyFont="1" applyBorder="1" applyAlignment="1">
      <alignment vertical="top" wrapText="1"/>
    </xf>
    <xf numFmtId="0" fontId="67" fillId="0" borderId="52" xfId="0" applyFont="1" applyBorder="1" applyAlignment="1">
      <alignment horizontal="center" vertical="top" wrapText="1"/>
    </xf>
    <xf numFmtId="0" fontId="54" fillId="0" borderId="52" xfId="0" applyFont="1" applyBorder="1" applyAlignment="1">
      <alignment horizontal="center" vertical="top" wrapText="1"/>
    </xf>
    <xf numFmtId="193" fontId="54" fillId="0" borderId="52" xfId="56" applyNumberFormat="1" applyFont="1" applyBorder="1" applyAlignment="1">
      <alignment horizontal="right" vertical="top" wrapText="1"/>
    </xf>
    <xf numFmtId="0" fontId="95" fillId="0" borderId="52" xfId="0" applyFont="1" applyBorder="1" applyAlignment="1">
      <alignment horizontal="center" vertical="top" wrapText="1"/>
    </xf>
    <xf numFmtId="191" fontId="54" fillId="0" borderId="0" xfId="51" applyFont="1" applyAlignment="1">
      <alignment/>
    </xf>
    <xf numFmtId="183" fontId="60" fillId="0" borderId="0" xfId="0" applyNumberFormat="1" applyFont="1" applyAlignment="1">
      <alignment/>
    </xf>
    <xf numFmtId="10" fontId="90" fillId="0" borderId="0" xfId="0" applyNumberFormat="1" applyFont="1" applyBorder="1" applyAlignment="1">
      <alignment/>
    </xf>
    <xf numFmtId="0" fontId="60" fillId="0" borderId="0" xfId="0" applyFont="1" applyAlignment="1">
      <alignment/>
    </xf>
    <xf numFmtId="183" fontId="60" fillId="0" borderId="13" xfId="0" applyNumberFormat="1" applyFont="1" applyBorder="1" applyAlignment="1">
      <alignment horizontal="center" vertical="top" wrapText="1"/>
    </xf>
    <xf numFmtId="0" fontId="60" fillId="0" borderId="13" xfId="0" applyFont="1" applyBorder="1" applyAlignment="1">
      <alignment horizontal="center" vertical="top" wrapText="1"/>
    </xf>
    <xf numFmtId="191" fontId="60" fillId="0" borderId="52" xfId="51" applyFont="1" applyBorder="1" applyAlignment="1">
      <alignment horizontal="right" vertical="top" wrapText="1"/>
    </xf>
    <xf numFmtId="183" fontId="54" fillId="0" borderId="0" xfId="0" applyNumberFormat="1" applyFont="1" applyAlignment="1">
      <alignment/>
    </xf>
    <xf numFmtId="10" fontId="60" fillId="0" borderId="52" xfId="0" applyNumberFormat="1" applyFont="1" applyBorder="1" applyAlignment="1">
      <alignment horizontal="center" vertical="top" wrapText="1"/>
    </xf>
    <xf numFmtId="183" fontId="60" fillId="0" borderId="52" xfId="0" applyNumberFormat="1" applyFont="1" applyBorder="1" applyAlignment="1">
      <alignment horizontal="right" vertical="top" wrapText="1"/>
    </xf>
    <xf numFmtId="0" fontId="133" fillId="23" borderId="52" xfId="38" applyBorder="1" applyAlignment="1">
      <alignment vertical="top" wrapText="1"/>
    </xf>
    <xf numFmtId="0" fontId="133" fillId="23" borderId="52" xfId="38" applyBorder="1" applyAlignment="1">
      <alignment horizontal="center" vertical="top" wrapText="1"/>
    </xf>
    <xf numFmtId="191" fontId="133" fillId="23" borderId="52" xfId="38" applyNumberFormat="1" applyBorder="1" applyAlignment="1">
      <alignment horizontal="center" vertical="top" wrapText="1"/>
    </xf>
    <xf numFmtId="10" fontId="133" fillId="23" borderId="52" xfId="38" applyNumberFormat="1" applyBorder="1" applyAlignment="1">
      <alignment horizontal="center" vertical="top" wrapText="1"/>
    </xf>
    <xf numFmtId="191" fontId="133" fillId="23" borderId="52" xfId="38" applyNumberFormat="1" applyBorder="1" applyAlignment="1">
      <alignment horizontal="right" vertical="top" wrapText="1"/>
    </xf>
    <xf numFmtId="183" fontId="133" fillId="23" borderId="52" xfId="38" applyNumberFormat="1" applyBorder="1" applyAlignment="1">
      <alignment horizontal="right" vertical="top" wrapText="1"/>
    </xf>
    <xf numFmtId="4" fontId="132" fillId="2" borderId="52" xfId="15" applyNumberFormat="1" applyBorder="1" applyAlignment="1">
      <alignment horizontal="center" vertical="top" wrapText="1"/>
    </xf>
    <xf numFmtId="0" fontId="132" fillId="2" borderId="52" xfId="15" applyBorder="1" applyAlignment="1">
      <alignment vertical="top" wrapText="1"/>
    </xf>
    <xf numFmtId="0" fontId="132" fillId="2" borderId="52" xfId="15" applyBorder="1" applyAlignment="1">
      <alignment horizontal="center" vertical="top" wrapText="1"/>
    </xf>
    <xf numFmtId="10" fontId="132" fillId="2" borderId="52" xfId="15" applyNumberFormat="1" applyBorder="1" applyAlignment="1">
      <alignment horizontal="center" vertical="top" wrapText="1"/>
    </xf>
    <xf numFmtId="191" fontId="132" fillId="2" borderId="52" xfId="15" applyNumberFormat="1" applyBorder="1" applyAlignment="1">
      <alignment horizontal="right" vertical="top" wrapText="1"/>
    </xf>
    <xf numFmtId="193" fontId="132" fillId="2" borderId="52" xfId="15" applyNumberFormat="1" applyBorder="1" applyAlignment="1">
      <alignment horizontal="right" vertical="top" wrapText="1"/>
    </xf>
    <xf numFmtId="2" fontId="132" fillId="2" borderId="52" xfId="15" applyNumberFormat="1" applyBorder="1" applyAlignment="1">
      <alignment horizontal="center" vertical="top" wrapText="1"/>
    </xf>
    <xf numFmtId="183" fontId="132" fillId="2" borderId="52" xfId="15" applyNumberFormat="1" applyBorder="1" applyAlignment="1">
      <alignment horizontal="right" vertical="top" wrapText="1"/>
    </xf>
    <xf numFmtId="2" fontId="132" fillId="2" borderId="52" xfId="15" applyNumberFormat="1" applyBorder="1" applyAlignment="1">
      <alignment horizontal="right" vertical="top" wrapText="1"/>
    </xf>
    <xf numFmtId="0" fontId="132" fillId="2" borderId="52" xfId="15" applyBorder="1" applyAlignment="1">
      <alignment/>
    </xf>
    <xf numFmtId="0" fontId="132" fillId="2" borderId="52" xfId="15" applyBorder="1" applyAlignment="1">
      <alignment horizontal="right" vertical="center"/>
    </xf>
    <xf numFmtId="0" fontId="133" fillId="23" borderId="10" xfId="38" applyBorder="1" applyAlignment="1">
      <alignment horizontal="right"/>
    </xf>
    <xf numFmtId="0" fontId="133" fillId="23" borderId="15" xfId="38" applyBorder="1" applyAlignment="1">
      <alignment/>
    </xf>
    <xf numFmtId="183" fontId="133" fillId="23" borderId="11" xfId="38" applyNumberFormat="1" applyBorder="1" applyAlignment="1" applyProtection="1">
      <alignment/>
      <protection locked="0"/>
    </xf>
    <xf numFmtId="0" fontId="133" fillId="23" borderId="10" xfId="38" applyBorder="1" applyAlignment="1">
      <alignment/>
    </xf>
    <xf numFmtId="10" fontId="133" fillId="23" borderId="15" xfId="38" applyNumberFormat="1" applyBorder="1" applyAlignment="1">
      <alignment/>
    </xf>
    <xf numFmtId="183" fontId="133" fillId="23" borderId="11" xfId="38" applyNumberFormat="1" applyBorder="1" applyAlignment="1">
      <alignment/>
    </xf>
    <xf numFmtId="9" fontId="54" fillId="0" borderId="64" xfId="0" applyNumberFormat="1" applyFont="1" applyBorder="1" applyAlignment="1">
      <alignment/>
    </xf>
    <xf numFmtId="9" fontId="133" fillId="23" borderId="0" xfId="38" applyNumberFormat="1" applyBorder="1" applyAlignment="1">
      <alignment horizontal="center"/>
    </xf>
    <xf numFmtId="0" fontId="60" fillId="0" borderId="0" xfId="0" applyFont="1" applyBorder="1" applyAlignment="1">
      <alignment horizontal="center"/>
    </xf>
    <xf numFmtId="183" fontId="60" fillId="0" borderId="14" xfId="49" applyFont="1" applyBorder="1" applyAlignment="1">
      <alignment horizontal="center"/>
    </xf>
    <xf numFmtId="0" fontId="89" fillId="0" borderId="0" xfId="0" applyFont="1" applyBorder="1" applyAlignment="1">
      <alignment/>
    </xf>
    <xf numFmtId="0" fontId="149" fillId="0" borderId="0" xfId="0" applyFont="1" applyAlignment="1">
      <alignment/>
    </xf>
    <xf numFmtId="0" fontId="54" fillId="0" borderId="0" xfId="0" applyFont="1" applyFill="1" applyAlignment="1">
      <alignment horizontal="left"/>
    </xf>
    <xf numFmtId="0" fontId="54" fillId="0" borderId="0" xfId="0" applyFont="1" applyFill="1" applyAlignment="1">
      <alignment/>
    </xf>
    <xf numFmtId="0" fontId="97" fillId="0" borderId="0" xfId="0" applyFont="1" applyFill="1" applyAlignment="1">
      <alignment/>
    </xf>
    <xf numFmtId="10" fontId="54" fillId="0" borderId="0" xfId="0" applyNumberFormat="1" applyFont="1" applyAlignment="1">
      <alignment/>
    </xf>
    <xf numFmtId="0" fontId="150" fillId="0" borderId="0" xfId="0" applyFont="1" applyAlignment="1">
      <alignment/>
    </xf>
    <xf numFmtId="0" fontId="54" fillId="0" borderId="14" xfId="0" applyFont="1" applyFill="1" applyBorder="1" applyAlignment="1">
      <alignment horizontal="left"/>
    </xf>
    <xf numFmtId="0" fontId="87" fillId="0" borderId="14" xfId="0" applyFont="1" applyFill="1" applyBorder="1" applyAlignment="1">
      <alignment/>
    </xf>
    <xf numFmtId="0" fontId="97" fillId="0" borderId="17" xfId="0" applyFont="1" applyFill="1" applyBorder="1" applyAlignment="1">
      <alignment/>
    </xf>
    <xf numFmtId="0" fontId="87" fillId="0" borderId="52" xfId="0" applyFont="1" applyBorder="1" applyAlignment="1">
      <alignment/>
    </xf>
    <xf numFmtId="0" fontId="87" fillId="0" borderId="14" xfId="0" applyFont="1" applyBorder="1" applyAlignment="1">
      <alignment/>
    </xf>
    <xf numFmtId="0" fontId="87" fillId="43" borderId="14" xfId="0" applyFont="1" applyFill="1" applyBorder="1" applyAlignment="1">
      <alignment/>
    </xf>
    <xf numFmtId="0" fontId="64" fillId="0" borderId="14" xfId="0" applyFont="1" applyBorder="1" applyAlignment="1">
      <alignment horizontal="center"/>
    </xf>
    <xf numFmtId="10" fontId="95" fillId="0" borderId="69" xfId="63" applyNumberFormat="1" applyFont="1" applyFill="1" applyBorder="1" applyAlignment="1">
      <alignment/>
    </xf>
    <xf numFmtId="10" fontId="67" fillId="0" borderId="69" xfId="63" applyNumberFormat="1" applyFont="1" applyFill="1" applyBorder="1" applyAlignment="1">
      <alignment/>
    </xf>
    <xf numFmtId="10" fontId="67" fillId="0" borderId="69" xfId="63" applyNumberFormat="1" applyFont="1" applyBorder="1" applyAlignment="1">
      <alignment/>
    </xf>
    <xf numFmtId="10" fontId="67" fillId="43" borderId="69" xfId="63" applyNumberFormat="1" applyFont="1" applyFill="1" applyBorder="1" applyAlignment="1">
      <alignment/>
    </xf>
    <xf numFmtId="179" fontId="54" fillId="0" borderId="0" xfId="0" applyNumberFormat="1" applyFont="1" applyAlignment="1">
      <alignment/>
    </xf>
    <xf numFmtId="183" fontId="87" fillId="0" borderId="69" xfId="49" applyFont="1" applyFill="1" applyBorder="1" applyAlignment="1">
      <alignment/>
    </xf>
    <xf numFmtId="4" fontId="54" fillId="0" borderId="0" xfId="0" applyNumberFormat="1" applyFont="1" applyAlignment="1">
      <alignment/>
    </xf>
    <xf numFmtId="183" fontId="87" fillId="0" borderId="14" xfId="49" applyFont="1" applyFill="1" applyBorder="1" applyAlignment="1">
      <alignment/>
    </xf>
    <xf numFmtId="179" fontId="150" fillId="0" borderId="0" xfId="0" applyNumberFormat="1" applyFont="1" applyAlignment="1">
      <alignment/>
    </xf>
    <xf numFmtId="0" fontId="60" fillId="0" borderId="14" xfId="0" applyFont="1" applyBorder="1" applyAlignment="1">
      <alignment horizontal="center"/>
    </xf>
    <xf numFmtId="0" fontId="60" fillId="0" borderId="14" xfId="0" applyFont="1" applyBorder="1" applyAlignment="1">
      <alignment horizontal="center"/>
    </xf>
    <xf numFmtId="183" fontId="54" fillId="0" borderId="14" xfId="0" applyNumberFormat="1" applyFont="1" applyBorder="1" applyAlignment="1">
      <alignment horizontal="center"/>
    </xf>
    <xf numFmtId="194" fontId="60" fillId="0" borderId="14" xfId="63" applyNumberFormat="1" applyFont="1" applyBorder="1" applyAlignment="1">
      <alignment/>
    </xf>
    <xf numFmtId="183" fontId="60" fillId="0" borderId="14" xfId="0" applyNumberFormat="1" applyFont="1" applyBorder="1" applyAlignment="1">
      <alignment horizontal="center"/>
    </xf>
    <xf numFmtId="0" fontId="60" fillId="0" borderId="64" xfId="0" applyFont="1" applyBorder="1" applyAlignment="1">
      <alignment horizontal="center"/>
    </xf>
    <xf numFmtId="194" fontId="60" fillId="0" borderId="64" xfId="63" applyNumberFormat="1" applyFont="1" applyBorder="1" applyAlignment="1">
      <alignment/>
    </xf>
    <xf numFmtId="183" fontId="99" fillId="0" borderId="64" xfId="0" applyNumberFormat="1" applyFont="1" applyBorder="1" applyAlignment="1">
      <alignment horizontal="center"/>
    </xf>
    <xf numFmtId="0" fontId="54" fillId="0" borderId="14" xfId="0" applyFont="1" applyBorder="1" applyAlignment="1">
      <alignment/>
    </xf>
    <xf numFmtId="194" fontId="54" fillId="0" borderId="14" xfId="0" applyNumberFormat="1" applyFont="1" applyBorder="1" applyAlignment="1">
      <alignment/>
    </xf>
    <xf numFmtId="183" fontId="99" fillId="0" borderId="14" xfId="49" applyFont="1" applyFill="1" applyBorder="1" applyAlignment="1">
      <alignment/>
    </xf>
    <xf numFmtId="0" fontId="99" fillId="0" borderId="14" xfId="0" applyFont="1" applyFill="1" applyBorder="1" applyAlignment="1">
      <alignment/>
    </xf>
    <xf numFmtId="194" fontId="99" fillId="0" borderId="14" xfId="63" applyNumberFormat="1" applyFont="1" applyFill="1" applyBorder="1" applyAlignment="1">
      <alignment/>
    </xf>
    <xf numFmtId="183" fontId="99" fillId="0" borderId="13" xfId="49" applyFont="1" applyFill="1" applyBorder="1" applyAlignment="1">
      <alignment/>
    </xf>
    <xf numFmtId="183" fontId="99" fillId="0" borderId="0" xfId="49" applyFont="1" applyFill="1" applyBorder="1" applyAlignment="1">
      <alignment/>
    </xf>
    <xf numFmtId="0" fontId="99" fillId="0" borderId="0" xfId="0" applyFont="1" applyFill="1" applyBorder="1" applyAlignment="1">
      <alignment/>
    </xf>
    <xf numFmtId="194" fontId="99" fillId="0" borderId="0" xfId="63" applyNumberFormat="1" applyFont="1" applyFill="1" applyBorder="1" applyAlignment="1">
      <alignment/>
    </xf>
    <xf numFmtId="183" fontId="99" fillId="0" borderId="0" xfId="49" applyFont="1" applyAlignment="1">
      <alignment/>
    </xf>
    <xf numFmtId="0" fontId="60" fillId="0" borderId="0" xfId="0" applyFont="1" applyFill="1" applyAlignment="1">
      <alignment horizontal="right"/>
    </xf>
    <xf numFmtId="183" fontId="60" fillId="0" borderId="0" xfId="49" applyFont="1" applyFill="1" applyAlignment="1">
      <alignment horizontal="right"/>
    </xf>
    <xf numFmtId="0" fontId="54" fillId="0" borderId="14" xfId="0" applyFont="1" applyBorder="1" applyAlignment="1">
      <alignment/>
    </xf>
    <xf numFmtId="183" fontId="60" fillId="0" borderId="14" xfId="49" applyFont="1" applyFill="1" applyBorder="1" applyAlignment="1">
      <alignment/>
    </xf>
    <xf numFmtId="0" fontId="60" fillId="0" borderId="14" xfId="0" applyFont="1" applyBorder="1" applyAlignment="1">
      <alignment/>
    </xf>
    <xf numFmtId="183" fontId="60" fillId="0" borderId="14" xfId="0" applyNumberFormat="1" applyFont="1" applyBorder="1" applyAlignment="1">
      <alignment/>
    </xf>
    <xf numFmtId="9" fontId="54" fillId="0" borderId="14" xfId="63" applyFont="1" applyBorder="1" applyAlignment="1">
      <alignment/>
    </xf>
    <xf numFmtId="0" fontId="55" fillId="0" borderId="14" xfId="0" applyFont="1" applyBorder="1" applyAlignment="1">
      <alignment horizontal="right"/>
    </xf>
    <xf numFmtId="183" fontId="86" fillId="0" borderId="0" xfId="0" applyNumberFormat="1" applyFont="1" applyAlignment="1">
      <alignment/>
    </xf>
    <xf numFmtId="10" fontId="54" fillId="0" borderId="0" xfId="63" applyNumberFormat="1" applyFont="1" applyAlignment="1">
      <alignment/>
    </xf>
    <xf numFmtId="0" fontId="100" fillId="0" borderId="0" xfId="0" applyFont="1" applyAlignment="1">
      <alignment horizontal="center"/>
    </xf>
    <xf numFmtId="0" fontId="101" fillId="0" borderId="0" xfId="0" applyFont="1" applyAlignment="1">
      <alignment/>
    </xf>
    <xf numFmtId="183" fontId="101" fillId="0" borderId="0" xfId="49" applyFont="1" applyAlignment="1">
      <alignment/>
    </xf>
    <xf numFmtId="0" fontId="100" fillId="0" borderId="0" xfId="0" applyFont="1" applyBorder="1" applyAlignment="1">
      <alignment/>
    </xf>
    <xf numFmtId="0" fontId="100" fillId="0" borderId="14" xfId="0" applyFont="1" applyBorder="1" applyAlignment="1">
      <alignment horizontal="center"/>
    </xf>
    <xf numFmtId="194" fontId="102" fillId="0" borderId="14" xfId="63" applyNumberFormat="1" applyFont="1" applyBorder="1" applyAlignment="1">
      <alignment/>
    </xf>
    <xf numFmtId="0" fontId="100" fillId="0" borderId="0" xfId="0" applyFont="1" applyAlignment="1">
      <alignment/>
    </xf>
    <xf numFmtId="183" fontId="103" fillId="0" borderId="14" xfId="49" applyFont="1" applyBorder="1" applyAlignment="1">
      <alignment/>
    </xf>
    <xf numFmtId="0" fontId="103" fillId="0" borderId="14" xfId="0" applyFont="1" applyBorder="1" applyAlignment="1">
      <alignment/>
    </xf>
    <xf numFmtId="194" fontId="103" fillId="0" borderId="14" xfId="63" applyNumberFormat="1" applyFont="1" applyBorder="1" applyAlignment="1">
      <alignment/>
    </xf>
    <xf numFmtId="183" fontId="101" fillId="0" borderId="14" xfId="0" applyNumberFormat="1" applyFont="1" applyBorder="1" applyAlignment="1">
      <alignment horizontal="center"/>
    </xf>
    <xf numFmtId="0" fontId="102" fillId="0" borderId="14" xfId="0" applyFont="1" applyBorder="1" applyAlignment="1">
      <alignment horizontal="center"/>
    </xf>
    <xf numFmtId="194" fontId="103" fillId="0" borderId="14" xfId="63" applyNumberFormat="1" applyFont="1" applyFill="1" applyBorder="1" applyAlignment="1">
      <alignment/>
    </xf>
    <xf numFmtId="183" fontId="100" fillId="0" borderId="14" xfId="0" applyNumberFormat="1" applyFont="1" applyBorder="1" applyAlignment="1">
      <alignment horizontal="center"/>
    </xf>
    <xf numFmtId="0" fontId="100" fillId="0" borderId="64" xfId="0" applyFont="1" applyBorder="1" applyAlignment="1">
      <alignment horizontal="center"/>
    </xf>
    <xf numFmtId="194" fontId="100" fillId="0" borderId="64" xfId="63" applyNumberFormat="1" applyFont="1" applyBorder="1" applyAlignment="1">
      <alignment/>
    </xf>
    <xf numFmtId="2" fontId="102" fillId="0" borderId="64" xfId="0" applyNumberFormat="1" applyFont="1" applyBorder="1" applyAlignment="1">
      <alignment horizontal="right"/>
    </xf>
    <xf numFmtId="0" fontId="102" fillId="0" borderId="64" xfId="0" applyFont="1" applyBorder="1" applyAlignment="1">
      <alignment/>
    </xf>
    <xf numFmtId="185" fontId="102" fillId="0" borderId="64" xfId="0" applyNumberFormat="1" applyFont="1" applyBorder="1" applyAlignment="1">
      <alignment/>
    </xf>
    <xf numFmtId="183" fontId="102" fillId="0" borderId="64" xfId="0" applyNumberFormat="1" applyFont="1" applyBorder="1" applyAlignment="1">
      <alignment horizontal="center"/>
    </xf>
    <xf numFmtId="2" fontId="103" fillId="0" borderId="14" xfId="0" applyNumberFormat="1" applyFont="1" applyBorder="1" applyAlignment="1">
      <alignment horizontal="right"/>
    </xf>
    <xf numFmtId="183" fontId="102" fillId="0" borderId="14" xfId="0" applyNumberFormat="1" applyFont="1" applyBorder="1" applyAlignment="1">
      <alignment horizontal="center"/>
    </xf>
    <xf numFmtId="183" fontId="101" fillId="0" borderId="0" xfId="0" applyNumberFormat="1" applyFont="1" applyAlignment="1">
      <alignment/>
    </xf>
    <xf numFmtId="0" fontId="103" fillId="0" borderId="14" xfId="0" applyFont="1" applyBorder="1" applyAlignment="1">
      <alignment/>
    </xf>
    <xf numFmtId="0" fontId="102" fillId="0" borderId="13" xfId="0" applyFont="1" applyBorder="1" applyAlignment="1">
      <alignment horizontal="center"/>
    </xf>
    <xf numFmtId="2" fontId="103" fillId="0" borderId="13" xfId="0" applyNumberFormat="1" applyFont="1" applyBorder="1" applyAlignment="1">
      <alignment horizontal="right"/>
    </xf>
    <xf numFmtId="0" fontId="103" fillId="0" borderId="13" xfId="0" applyFont="1" applyBorder="1" applyAlignment="1">
      <alignment/>
    </xf>
    <xf numFmtId="194" fontId="101" fillId="0" borderId="0" xfId="0" applyNumberFormat="1" applyFont="1" applyAlignment="1">
      <alignment/>
    </xf>
    <xf numFmtId="0" fontId="101" fillId="0" borderId="14" xfId="0" applyFont="1" applyBorder="1" applyAlignment="1">
      <alignment/>
    </xf>
    <xf numFmtId="0" fontId="101" fillId="0" borderId="14" xfId="0" applyFont="1" applyBorder="1" applyAlignment="1">
      <alignment/>
    </xf>
    <xf numFmtId="194" fontId="101" fillId="0" borderId="14" xfId="0" applyNumberFormat="1" applyFont="1" applyBorder="1" applyAlignment="1">
      <alignment/>
    </xf>
    <xf numFmtId="183" fontId="100" fillId="0" borderId="0" xfId="49" applyFont="1" applyAlignment="1">
      <alignment/>
    </xf>
    <xf numFmtId="183" fontId="102" fillId="0" borderId="0" xfId="49" applyFont="1" applyFill="1" applyBorder="1" applyAlignment="1">
      <alignment/>
    </xf>
    <xf numFmtId="0" fontId="102" fillId="0" borderId="0" xfId="0" applyFont="1" applyFill="1" applyBorder="1" applyAlignment="1">
      <alignment/>
    </xf>
    <xf numFmtId="194" fontId="102" fillId="0" borderId="0" xfId="63" applyNumberFormat="1" applyFont="1" applyFill="1" applyBorder="1" applyAlignment="1">
      <alignment/>
    </xf>
    <xf numFmtId="183" fontId="102" fillId="0" borderId="0" xfId="49" applyFont="1" applyAlignment="1">
      <alignment/>
    </xf>
    <xf numFmtId="0" fontId="101" fillId="0" borderId="0" xfId="0" applyFont="1" applyFill="1" applyAlignment="1">
      <alignment/>
    </xf>
    <xf numFmtId="0" fontId="100" fillId="0" borderId="0" xfId="0" applyFont="1" applyFill="1" applyAlignment="1">
      <alignment horizontal="right"/>
    </xf>
    <xf numFmtId="183" fontId="100" fillId="0" borderId="0" xfId="49" applyFont="1" applyFill="1" applyAlignment="1">
      <alignment horizontal="right"/>
    </xf>
    <xf numFmtId="183" fontId="100" fillId="0" borderId="14" xfId="49" applyFont="1" applyFill="1" applyBorder="1" applyAlignment="1">
      <alignment/>
    </xf>
    <xf numFmtId="183" fontId="104" fillId="0" borderId="0" xfId="49" applyFont="1" applyAlignment="1">
      <alignment/>
    </xf>
    <xf numFmtId="0" fontId="104" fillId="0" borderId="0" xfId="0" applyFont="1" applyAlignment="1">
      <alignment horizontal="center"/>
    </xf>
    <xf numFmtId="183" fontId="101" fillId="0" borderId="14" xfId="49" applyFont="1" applyFill="1" applyBorder="1" applyAlignment="1">
      <alignment/>
    </xf>
    <xf numFmtId="183" fontId="101" fillId="0" borderId="0" xfId="49" applyFont="1" applyFill="1" applyBorder="1" applyAlignment="1">
      <alignment/>
    </xf>
    <xf numFmtId="183" fontId="101" fillId="0" borderId="14" xfId="0" applyNumberFormat="1" applyFont="1" applyBorder="1" applyAlignment="1">
      <alignment/>
    </xf>
    <xf numFmtId="183" fontId="100" fillId="0" borderId="14" xfId="0" applyNumberFormat="1" applyFont="1" applyBorder="1" applyAlignment="1">
      <alignment/>
    </xf>
    <xf numFmtId="0" fontId="100" fillId="0" borderId="14" xfId="0" applyFont="1" applyBorder="1" applyAlignment="1">
      <alignment/>
    </xf>
    <xf numFmtId="9" fontId="101" fillId="0" borderId="14" xfId="63" applyFont="1" applyBorder="1" applyAlignment="1">
      <alignment/>
    </xf>
    <xf numFmtId="0" fontId="104" fillId="0" borderId="14" xfId="0" applyFont="1" applyBorder="1" applyAlignment="1">
      <alignment horizontal="right"/>
    </xf>
    <xf numFmtId="183" fontId="105" fillId="0" borderId="0" xfId="0" applyNumberFormat="1" applyFont="1" applyAlignment="1">
      <alignment/>
    </xf>
    <xf numFmtId="10" fontId="101" fillId="0" borderId="0" xfId="63" applyNumberFormat="1" applyFont="1" applyAlignment="1">
      <alignment/>
    </xf>
    <xf numFmtId="183" fontId="100" fillId="0" borderId="0" xfId="49" applyFont="1" applyFill="1" applyBorder="1" applyAlignment="1">
      <alignment/>
    </xf>
    <xf numFmtId="0" fontId="101" fillId="0" borderId="0" xfId="0" applyFont="1" applyFill="1" applyBorder="1" applyAlignment="1">
      <alignment horizontal="center"/>
    </xf>
    <xf numFmtId="10" fontId="106" fillId="0" borderId="0" xfId="0" applyNumberFormat="1" applyFont="1" applyBorder="1" applyAlignment="1">
      <alignment/>
    </xf>
    <xf numFmtId="183" fontId="106" fillId="0" borderId="0" xfId="49" applyFont="1" applyBorder="1" applyAlignment="1">
      <alignment/>
    </xf>
    <xf numFmtId="183" fontId="101" fillId="0" borderId="0" xfId="0" applyNumberFormat="1" applyFont="1" applyAlignment="1">
      <alignment horizontal="center" wrapText="1"/>
    </xf>
    <xf numFmtId="0" fontId="101" fillId="0" borderId="0" xfId="0" applyFont="1" applyAlignment="1">
      <alignment horizontal="center"/>
    </xf>
    <xf numFmtId="183" fontId="101" fillId="0" borderId="0" xfId="49" applyFont="1" applyAlignment="1">
      <alignment horizontal="center"/>
    </xf>
    <xf numFmtId="10" fontId="101" fillId="0" borderId="0" xfId="49" applyNumberFormat="1" applyFont="1" applyAlignment="1">
      <alignment/>
    </xf>
    <xf numFmtId="183" fontId="64" fillId="0" borderId="0" xfId="49" applyFont="1" applyFill="1" applyBorder="1" applyAlignment="1">
      <alignment horizontal="center"/>
    </xf>
    <xf numFmtId="183" fontId="64" fillId="0" borderId="0" xfId="49" applyFont="1" applyFill="1" applyBorder="1" applyAlignment="1">
      <alignment/>
    </xf>
    <xf numFmtId="0" fontId="54" fillId="39" borderId="13" xfId="0" applyFont="1" applyFill="1" applyBorder="1" applyAlignment="1">
      <alignment/>
    </xf>
    <xf numFmtId="183" fontId="54" fillId="39" borderId="67" xfId="49" applyFont="1" applyFill="1" applyBorder="1" applyAlignment="1">
      <alignment/>
    </xf>
    <xf numFmtId="0" fontId="54" fillId="39" borderId="65" xfId="0" applyFont="1" applyFill="1" applyBorder="1" applyAlignment="1">
      <alignment horizontal="center"/>
    </xf>
    <xf numFmtId="183" fontId="87" fillId="0" borderId="67" xfId="49" applyFont="1" applyBorder="1" applyAlignment="1">
      <alignment/>
    </xf>
    <xf numFmtId="0" fontId="54" fillId="39" borderId="14" xfId="0" applyFont="1" applyFill="1" applyBorder="1" applyAlignment="1">
      <alignment/>
    </xf>
    <xf numFmtId="183" fontId="54" fillId="39" borderId="52" xfId="49" applyFont="1" applyFill="1" applyBorder="1" applyAlignment="1">
      <alignment/>
    </xf>
    <xf numFmtId="0" fontId="54" fillId="39" borderId="17" xfId="0" applyFont="1" applyFill="1" applyBorder="1" applyAlignment="1">
      <alignment horizontal="center"/>
    </xf>
    <xf numFmtId="0" fontId="54" fillId="0" borderId="64" xfId="0" applyFont="1" applyFill="1" applyBorder="1" applyAlignment="1">
      <alignment/>
    </xf>
    <xf numFmtId="183" fontId="54" fillId="0" borderId="64" xfId="49" applyFont="1" applyFill="1" applyBorder="1" applyAlignment="1">
      <alignment/>
    </xf>
    <xf numFmtId="0" fontId="54" fillId="0" borderId="64" xfId="0" applyFont="1" applyFill="1" applyBorder="1" applyAlignment="1">
      <alignment horizontal="center"/>
    </xf>
    <xf numFmtId="10" fontId="54" fillId="0" borderId="64" xfId="63" applyNumberFormat="1" applyFont="1" applyFill="1" applyBorder="1" applyAlignment="1">
      <alignment/>
    </xf>
    <xf numFmtId="183" fontId="87" fillId="0" borderId="64" xfId="49" applyFont="1" applyFill="1" applyBorder="1" applyAlignment="1">
      <alignment/>
    </xf>
    <xf numFmtId="2" fontId="60" fillId="0" borderId="0" xfId="0" applyNumberFormat="1" applyFont="1" applyBorder="1" applyAlignment="1">
      <alignment/>
    </xf>
    <xf numFmtId="0" fontId="54" fillId="39" borderId="67" xfId="0" applyFont="1" applyFill="1" applyBorder="1" applyAlignment="1">
      <alignment horizontal="left"/>
    </xf>
    <xf numFmtId="183" fontId="87" fillId="0" borderId="13" xfId="49" applyFont="1" applyBorder="1" applyAlignment="1">
      <alignment/>
    </xf>
    <xf numFmtId="183" fontId="54" fillId="0" borderId="66" xfId="49" applyFont="1" applyBorder="1" applyAlignment="1">
      <alignment/>
    </xf>
    <xf numFmtId="0" fontId="54" fillId="39" borderId="52" xfId="0" applyFont="1" applyFill="1" applyBorder="1" applyAlignment="1">
      <alignment horizontal="left"/>
    </xf>
    <xf numFmtId="183" fontId="54" fillId="0" borderId="16" xfId="49" applyFont="1" applyBorder="1" applyAlignment="1">
      <alignment/>
    </xf>
    <xf numFmtId="0" fontId="54" fillId="39" borderId="67" xfId="0" applyFont="1" applyFill="1" applyBorder="1" applyAlignment="1">
      <alignment horizontal="left" wrapText="1"/>
    </xf>
    <xf numFmtId="0" fontId="54" fillId="39" borderId="52" xfId="0" applyFont="1" applyFill="1" applyBorder="1" applyAlignment="1">
      <alignment horizontal="left" wrapText="1"/>
    </xf>
    <xf numFmtId="183" fontId="54" fillId="39" borderId="52" xfId="49" applyFont="1" applyFill="1" applyBorder="1" applyAlignment="1">
      <alignment wrapText="1"/>
    </xf>
    <xf numFmtId="0" fontId="54" fillId="0" borderId="0" xfId="0" applyFont="1" applyBorder="1" applyAlignment="1">
      <alignment wrapText="1"/>
    </xf>
    <xf numFmtId="183" fontId="54" fillId="0" borderId="52" xfId="49" applyFont="1" applyBorder="1" applyAlignment="1">
      <alignment wrapText="1"/>
    </xf>
    <xf numFmtId="183" fontId="54" fillId="0" borderId="14" xfId="49" applyFont="1" applyBorder="1" applyAlignment="1">
      <alignment wrapText="1"/>
    </xf>
    <xf numFmtId="183" fontId="54" fillId="0" borderId="0" xfId="49" applyFont="1" applyBorder="1" applyAlignment="1">
      <alignment wrapText="1"/>
    </xf>
    <xf numFmtId="183" fontId="60" fillId="0" borderId="0" xfId="0" applyNumberFormat="1" applyFont="1" applyBorder="1" applyAlignment="1">
      <alignment/>
    </xf>
    <xf numFmtId="10" fontId="60" fillId="0" borderId="0" xfId="0" applyNumberFormat="1" applyFont="1" applyBorder="1" applyAlignment="1">
      <alignment/>
    </xf>
    <xf numFmtId="9" fontId="60" fillId="0" borderId="14" xfId="63" applyFont="1" applyBorder="1" applyAlignment="1">
      <alignment/>
    </xf>
    <xf numFmtId="9" fontId="54" fillId="0" borderId="0" xfId="0" applyNumberFormat="1" applyFont="1" applyFill="1" applyAlignment="1">
      <alignment/>
    </xf>
    <xf numFmtId="0" fontId="54" fillId="0" borderId="0" xfId="0" applyFont="1" applyAlignment="1">
      <alignment horizontal="center" vertical="center"/>
    </xf>
    <xf numFmtId="10" fontId="54" fillId="0" borderId="0" xfId="61" applyNumberFormat="1" applyFont="1">
      <alignment/>
      <protection/>
    </xf>
    <xf numFmtId="0" fontId="54" fillId="0" borderId="0" xfId="61" applyFont="1">
      <alignment/>
      <protection/>
    </xf>
    <xf numFmtId="14" fontId="54" fillId="0" borderId="0" xfId="61" applyNumberFormat="1" applyFont="1">
      <alignment/>
      <protection/>
    </xf>
    <xf numFmtId="0" fontId="54" fillId="0" borderId="0" xfId="61" applyFont="1" applyAlignment="1">
      <alignment horizontal="center"/>
      <protection/>
    </xf>
    <xf numFmtId="3" fontId="54" fillId="36" borderId="39" xfId="61" applyNumberFormat="1" applyFont="1" applyFill="1" applyBorder="1" applyAlignment="1" applyProtection="1">
      <alignment horizontal="center" vertical="center"/>
      <protection locked="0"/>
    </xf>
    <xf numFmtId="0" fontId="54" fillId="44" borderId="39" xfId="61" applyFont="1" applyFill="1" applyBorder="1" applyAlignment="1" applyProtection="1">
      <alignment vertical="center" wrapText="1"/>
      <protection/>
    </xf>
    <xf numFmtId="179" fontId="54" fillId="0" borderId="0" xfId="61" applyNumberFormat="1" applyFont="1">
      <alignment/>
      <protection/>
    </xf>
    <xf numFmtId="3" fontId="54" fillId="0" borderId="0" xfId="61" applyNumberFormat="1" applyFont="1">
      <alignment/>
      <protection/>
    </xf>
    <xf numFmtId="0" fontId="54" fillId="45" borderId="0" xfId="61" applyFont="1" applyFill="1">
      <alignment/>
      <protection/>
    </xf>
    <xf numFmtId="0" fontId="54" fillId="0" borderId="0" xfId="61" applyFont="1" applyFill="1">
      <alignment/>
      <protection/>
    </xf>
    <xf numFmtId="3" fontId="107" fillId="0" borderId="0" xfId="61" applyNumberFormat="1" applyFont="1">
      <alignment/>
      <protection/>
    </xf>
    <xf numFmtId="213" fontId="54" fillId="0" borderId="0" xfId="61" applyNumberFormat="1" applyFont="1">
      <alignment/>
      <protection/>
    </xf>
    <xf numFmtId="0" fontId="103" fillId="0" borderId="14" xfId="0" applyFont="1" applyFill="1" applyBorder="1" applyAlignment="1">
      <alignment horizontal="left" wrapText="1"/>
    </xf>
    <xf numFmtId="0" fontId="133" fillId="23" borderId="0" xfId="38" applyBorder="1" applyAlignment="1">
      <alignment horizontal="left"/>
    </xf>
    <xf numFmtId="0" fontId="133" fillId="23" borderId="0" xfId="38" applyBorder="1" applyAlignment="1">
      <alignment horizontal="right" vertical="center"/>
    </xf>
    <xf numFmtId="183" fontId="64" fillId="0" borderId="38" xfId="49" applyFont="1" applyFill="1" applyBorder="1" applyAlignment="1">
      <alignment horizontal="left"/>
    </xf>
    <xf numFmtId="183" fontId="60" fillId="0" borderId="70" xfId="49" applyFont="1" applyBorder="1" applyAlignment="1">
      <alignment/>
    </xf>
    <xf numFmtId="183" fontId="55" fillId="41" borderId="39" xfId="49" applyFont="1" applyFill="1" applyBorder="1" applyAlignment="1">
      <alignment horizontal="center"/>
    </xf>
    <xf numFmtId="0" fontId="60" fillId="0" borderId="36" xfId="0" applyFont="1" applyBorder="1" applyAlignment="1">
      <alignment horizontal="right" vertical="center"/>
    </xf>
    <xf numFmtId="183" fontId="60" fillId="0" borderId="71" xfId="49" applyFont="1" applyFill="1" applyBorder="1" applyAlignment="1">
      <alignment vertical="center"/>
    </xf>
    <xf numFmtId="0" fontId="54" fillId="0" borderId="15" xfId="0" applyFont="1" applyBorder="1" applyAlignment="1">
      <alignment horizontal="left" vertical="center"/>
    </xf>
    <xf numFmtId="183" fontId="54" fillId="0" borderId="11" xfId="49" applyFont="1" applyBorder="1" applyAlignment="1">
      <alignment vertical="center"/>
    </xf>
    <xf numFmtId="183" fontId="132" fillId="2" borderId="13" xfId="15" applyNumberFormat="1" applyBorder="1" applyAlignment="1">
      <alignment/>
    </xf>
    <xf numFmtId="0" fontId="132" fillId="2" borderId="65" xfId="15" applyBorder="1" applyAlignment="1">
      <alignment/>
    </xf>
    <xf numFmtId="0" fontId="133" fillId="23" borderId="14" xfId="38" applyBorder="1" applyAlignment="1">
      <alignment/>
    </xf>
    <xf numFmtId="183" fontId="133" fillId="23" borderId="14" xfId="38" applyNumberFormat="1" applyBorder="1" applyAlignment="1">
      <alignment/>
    </xf>
    <xf numFmtId="0" fontId="132" fillId="2" borderId="14" xfId="15" applyBorder="1" applyAlignment="1">
      <alignment/>
    </xf>
    <xf numFmtId="183" fontId="132" fillId="2" borderId="14" xfId="15" applyNumberFormat="1" applyBorder="1" applyAlignment="1">
      <alignment/>
    </xf>
    <xf numFmtId="0" fontId="133" fillId="23" borderId="0" xfId="38" applyBorder="1" applyAlignment="1">
      <alignment vertical="center"/>
    </xf>
    <xf numFmtId="0" fontId="132" fillId="2" borderId="14" xfId="15" applyBorder="1" applyAlignment="1">
      <alignment wrapText="1"/>
    </xf>
    <xf numFmtId="194" fontId="132" fillId="2" borderId="14" xfId="15" applyNumberFormat="1" applyBorder="1" applyAlignment="1">
      <alignment/>
    </xf>
    <xf numFmtId="194" fontId="54" fillId="0" borderId="14" xfId="63" applyNumberFormat="1" applyFont="1" applyBorder="1" applyAlignment="1">
      <alignment/>
    </xf>
    <xf numFmtId="0" fontId="108" fillId="2" borderId="14" xfId="15" applyFont="1" applyBorder="1" applyAlignment="1">
      <alignment/>
    </xf>
    <xf numFmtId="194" fontId="54" fillId="0" borderId="14" xfId="63" applyNumberFormat="1" applyFont="1" applyFill="1" applyBorder="1" applyAlignment="1">
      <alignment/>
    </xf>
    <xf numFmtId="2" fontId="60" fillId="0" borderId="64" xfId="0" applyNumberFormat="1" applyFont="1" applyBorder="1" applyAlignment="1">
      <alignment horizontal="right"/>
    </xf>
    <xf numFmtId="0" fontId="60" fillId="0" borderId="64" xfId="0" applyFont="1" applyBorder="1" applyAlignment="1">
      <alignment/>
    </xf>
    <xf numFmtId="185" fontId="60" fillId="0" borderId="64" xfId="0" applyNumberFormat="1" applyFont="1" applyBorder="1" applyAlignment="1">
      <alignment/>
    </xf>
    <xf numFmtId="183" fontId="60" fillId="0" borderId="64" xfId="0" applyNumberFormat="1" applyFont="1" applyBorder="1" applyAlignment="1">
      <alignment horizontal="center"/>
    </xf>
    <xf numFmtId="2" fontId="54" fillId="0" borderId="14" xfId="0" applyNumberFormat="1" applyFont="1" applyBorder="1" applyAlignment="1">
      <alignment horizontal="right"/>
    </xf>
    <xf numFmtId="0" fontId="54" fillId="0" borderId="14" xfId="0" applyFont="1" applyFill="1" applyBorder="1" applyAlignment="1">
      <alignment wrapText="1"/>
    </xf>
    <xf numFmtId="2" fontId="60" fillId="0" borderId="13" xfId="0" applyNumberFormat="1" applyFont="1" applyBorder="1" applyAlignment="1">
      <alignment horizontal="right"/>
    </xf>
    <xf numFmtId="0" fontId="60" fillId="0" borderId="13" xfId="0" applyFont="1" applyBorder="1" applyAlignment="1">
      <alignment/>
    </xf>
    <xf numFmtId="0" fontId="60" fillId="0" borderId="13" xfId="0" applyFont="1" applyBorder="1" applyAlignment="1">
      <alignment horizontal="center"/>
    </xf>
    <xf numFmtId="194" fontId="60" fillId="0" borderId="13" xfId="0" applyNumberFormat="1" applyFont="1" applyBorder="1" applyAlignment="1">
      <alignment/>
    </xf>
    <xf numFmtId="2" fontId="54" fillId="0" borderId="13" xfId="0" applyNumberFormat="1" applyFont="1" applyBorder="1" applyAlignment="1">
      <alignment horizontal="right"/>
    </xf>
    <xf numFmtId="0" fontId="54" fillId="0" borderId="13" xfId="0" applyFont="1" applyBorder="1" applyAlignment="1">
      <alignment/>
    </xf>
    <xf numFmtId="0" fontId="133" fillId="23" borderId="14" xfId="38" applyBorder="1" applyAlignment="1">
      <alignment horizontal="center"/>
    </xf>
    <xf numFmtId="194" fontId="133" fillId="23" borderId="14" xfId="38" applyNumberFormat="1" applyBorder="1" applyAlignment="1">
      <alignment/>
    </xf>
    <xf numFmtId="183" fontId="133" fillId="23" borderId="14" xfId="38" applyNumberFormat="1" applyBorder="1" applyAlignment="1">
      <alignment horizontal="center"/>
    </xf>
    <xf numFmtId="0" fontId="132" fillId="2" borderId="0" xfId="15" applyAlignment="1">
      <alignment/>
    </xf>
    <xf numFmtId="194" fontId="132" fillId="2" borderId="0" xfId="15" applyNumberFormat="1" applyAlignment="1">
      <alignment/>
    </xf>
    <xf numFmtId="183" fontId="132" fillId="2" borderId="0" xfId="15" applyNumberFormat="1" applyAlignment="1">
      <alignment/>
    </xf>
    <xf numFmtId="0" fontId="133" fillId="23" borderId="0" xfId="38" applyAlignment="1">
      <alignment/>
    </xf>
    <xf numFmtId="194" fontId="133" fillId="23" borderId="0" xfId="38" applyNumberFormat="1" applyAlignment="1">
      <alignment/>
    </xf>
    <xf numFmtId="183" fontId="133" fillId="23" borderId="0" xfId="38" applyNumberFormat="1" applyAlignment="1">
      <alignment/>
    </xf>
    <xf numFmtId="183" fontId="136" fillId="23" borderId="14" xfId="38" applyNumberFormat="1" applyFont="1" applyBorder="1" applyAlignment="1">
      <alignment/>
    </xf>
    <xf numFmtId="0" fontId="136" fillId="23" borderId="14" xfId="38" applyFont="1" applyBorder="1" applyAlignment="1">
      <alignment/>
    </xf>
    <xf numFmtId="0" fontId="133" fillId="23" borderId="0" xfId="38" applyBorder="1" applyAlignment="1">
      <alignment horizontal="right"/>
    </xf>
    <xf numFmtId="183" fontId="132" fillId="2" borderId="0" xfId="15" applyNumberFormat="1" applyBorder="1" applyAlignment="1">
      <alignment/>
    </xf>
    <xf numFmtId="0" fontId="132" fillId="2" borderId="0" xfId="15" applyBorder="1" applyAlignment="1">
      <alignment horizontal="center"/>
    </xf>
    <xf numFmtId="0" fontId="151" fillId="2" borderId="0" xfId="15" applyFont="1" applyFill="1" applyBorder="1" applyAlignment="1">
      <alignment/>
    </xf>
    <xf numFmtId="183" fontId="151" fillId="2" borderId="0" xfId="15" applyNumberFormat="1" applyFont="1" applyBorder="1" applyAlignment="1">
      <alignment/>
    </xf>
    <xf numFmtId="0" fontId="132" fillId="2" borderId="14" xfId="15" applyBorder="1" applyAlignment="1">
      <alignment horizontal="center"/>
    </xf>
    <xf numFmtId="0" fontId="133" fillId="23" borderId="0" xfId="38" applyBorder="1" applyAlignment="1">
      <alignment/>
    </xf>
    <xf numFmtId="183" fontId="133" fillId="23" borderId="15" xfId="38" applyNumberFormat="1" applyBorder="1" applyAlignment="1">
      <alignment/>
    </xf>
    <xf numFmtId="183" fontId="133" fillId="23" borderId="15" xfId="38" applyNumberFormat="1" applyBorder="1" applyAlignment="1">
      <alignment horizontal="center"/>
    </xf>
    <xf numFmtId="183" fontId="133" fillId="23" borderId="0" xfId="38" applyNumberFormat="1" applyBorder="1" applyAlignment="1">
      <alignment/>
    </xf>
    <xf numFmtId="0" fontId="132" fillId="2" borderId="13" xfId="15" applyBorder="1" applyAlignment="1">
      <alignment/>
    </xf>
    <xf numFmtId="183" fontId="132" fillId="2" borderId="67" xfId="15" applyNumberFormat="1" applyBorder="1" applyAlignment="1">
      <alignment/>
    </xf>
    <xf numFmtId="0" fontId="132" fillId="2" borderId="65" xfId="15" applyBorder="1" applyAlignment="1">
      <alignment horizontal="center"/>
    </xf>
    <xf numFmtId="183" fontId="132" fillId="2" borderId="52" xfId="15" applyNumberFormat="1" applyBorder="1" applyAlignment="1">
      <alignment/>
    </xf>
    <xf numFmtId="0" fontId="132" fillId="2" borderId="17" xfId="15" applyBorder="1" applyAlignment="1">
      <alignment horizontal="center"/>
    </xf>
    <xf numFmtId="0" fontId="133" fillId="23" borderId="15" xfId="38" applyBorder="1" applyAlignment="1">
      <alignment horizontal="center"/>
    </xf>
    <xf numFmtId="9" fontId="133" fillId="23" borderId="15" xfId="38" applyNumberFormat="1" applyBorder="1" applyAlignment="1">
      <alignment/>
    </xf>
    <xf numFmtId="0" fontId="132" fillId="2" borderId="52" xfId="15" applyBorder="1" applyAlignment="1">
      <alignment horizontal="left"/>
    </xf>
    <xf numFmtId="0" fontId="132" fillId="2" borderId="67" xfId="15" applyBorder="1" applyAlignment="1">
      <alignment horizontal="left"/>
    </xf>
    <xf numFmtId="183" fontId="133" fillId="23" borderId="10" xfId="38" applyNumberFormat="1" applyBorder="1" applyAlignment="1">
      <alignment horizontal="right"/>
    </xf>
    <xf numFmtId="183" fontId="132" fillId="2" borderId="14" xfId="15" applyNumberFormat="1" applyBorder="1" applyAlignment="1">
      <alignment horizontal="center"/>
    </xf>
    <xf numFmtId="9" fontId="132" fillId="2" borderId="14" xfId="15" applyNumberFormat="1" applyBorder="1" applyAlignment="1">
      <alignment/>
    </xf>
    <xf numFmtId="2" fontId="132" fillId="2" borderId="64" xfId="15" applyNumberFormat="1" applyBorder="1" applyAlignment="1">
      <alignment horizontal="right"/>
    </xf>
    <xf numFmtId="0" fontId="132" fillId="2" borderId="64" xfId="15" applyBorder="1" applyAlignment="1">
      <alignment/>
    </xf>
    <xf numFmtId="0" fontId="132" fillId="2" borderId="64" xfId="15" applyBorder="1" applyAlignment="1">
      <alignment horizontal="center"/>
    </xf>
    <xf numFmtId="185" fontId="132" fillId="2" borderId="64" xfId="15" applyNumberFormat="1" applyBorder="1" applyAlignment="1">
      <alignment/>
    </xf>
    <xf numFmtId="2" fontId="132" fillId="2" borderId="13" xfId="15" applyNumberFormat="1" applyBorder="1" applyAlignment="1">
      <alignment horizontal="right"/>
    </xf>
    <xf numFmtId="0" fontId="132" fillId="2" borderId="13" xfId="15" applyBorder="1" applyAlignment="1">
      <alignment/>
    </xf>
    <xf numFmtId="0" fontId="132" fillId="2" borderId="13" xfId="15" applyBorder="1" applyAlignment="1">
      <alignment horizontal="center"/>
    </xf>
    <xf numFmtId="194" fontId="132" fillId="2" borderId="13" xfId="15" applyNumberFormat="1" applyBorder="1" applyAlignment="1">
      <alignment/>
    </xf>
    <xf numFmtId="0" fontId="103" fillId="2" borderId="14" xfId="0" applyFont="1" applyFill="1" applyBorder="1" applyAlignment="1">
      <alignment/>
    </xf>
    <xf numFmtId="183" fontId="100" fillId="2" borderId="14" xfId="49" applyFont="1" applyFill="1" applyBorder="1" applyAlignment="1">
      <alignment/>
    </xf>
    <xf numFmtId="194" fontId="100" fillId="2" borderId="14" xfId="63" applyNumberFormat="1" applyFont="1" applyFill="1" applyBorder="1" applyAlignment="1">
      <alignment/>
    </xf>
    <xf numFmtId="183" fontId="101" fillId="2" borderId="14" xfId="49" applyFont="1" applyFill="1" applyBorder="1" applyAlignment="1">
      <alignment/>
    </xf>
    <xf numFmtId="14" fontId="109" fillId="0" borderId="0" xfId="0" applyNumberFormat="1" applyFont="1" applyBorder="1" applyAlignment="1" applyProtection="1">
      <alignment horizontal="center"/>
      <protection locked="0"/>
    </xf>
    <xf numFmtId="0" fontId="109" fillId="0" borderId="0" xfId="0" applyFont="1" applyBorder="1" applyAlignment="1" applyProtection="1">
      <alignment horizontal="center"/>
      <protection locked="0"/>
    </xf>
    <xf numFmtId="0" fontId="60" fillId="0" borderId="0" xfId="0" applyFont="1" applyBorder="1" applyAlignment="1" applyProtection="1">
      <alignment horizontal="center"/>
      <protection locked="0"/>
    </xf>
    <xf numFmtId="0" fontId="54" fillId="0" borderId="0" xfId="0" applyFont="1" applyBorder="1" applyAlignment="1" applyProtection="1">
      <alignment/>
      <protection locked="0"/>
    </xf>
    <xf numFmtId="0" fontId="60" fillId="0" borderId="72" xfId="0" applyFont="1" applyFill="1" applyBorder="1" applyAlignment="1" applyProtection="1">
      <alignment horizontal="right"/>
      <protection locked="0"/>
    </xf>
    <xf numFmtId="3" fontId="60" fillId="43" borderId="72" xfId="0" applyNumberFormat="1"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54" fillId="0" borderId="14" xfId="0" applyFont="1" applyFill="1" applyBorder="1" applyAlignment="1" applyProtection="1">
      <alignment/>
      <protection locked="0"/>
    </xf>
    <xf numFmtId="0" fontId="54" fillId="43" borderId="14" xfId="0" applyFont="1" applyFill="1" applyBorder="1" applyAlignment="1" applyProtection="1">
      <alignment/>
      <protection locked="0"/>
    </xf>
    <xf numFmtId="0" fontId="54" fillId="0" borderId="0" xfId="0" applyFont="1" applyFill="1" applyBorder="1" applyAlignment="1" applyProtection="1">
      <alignment/>
      <protection locked="0"/>
    </xf>
    <xf numFmtId="0" fontId="60" fillId="0" borderId="14" xfId="0" applyFont="1" applyFill="1" applyBorder="1" applyAlignment="1" applyProtection="1">
      <alignment/>
      <protection locked="0"/>
    </xf>
    <xf numFmtId="0" fontId="60" fillId="43" borderId="14" xfId="0" applyFont="1" applyFill="1" applyBorder="1" applyAlignment="1" applyProtection="1">
      <alignment horizontal="center"/>
      <protection locked="0"/>
    </xf>
    <xf numFmtId="0" fontId="60" fillId="0" borderId="0" xfId="0" applyFont="1" applyBorder="1" applyAlignment="1" applyProtection="1">
      <alignment/>
      <protection locked="0"/>
    </xf>
    <xf numFmtId="0" fontId="132" fillId="2" borderId="14" xfId="15" applyBorder="1" applyAlignment="1" applyProtection="1">
      <alignment/>
      <protection locked="0"/>
    </xf>
    <xf numFmtId="183" fontId="132" fillId="2" borderId="14" xfId="15" applyNumberFormat="1" applyBorder="1" applyAlignment="1" applyProtection="1">
      <alignment/>
      <protection locked="0"/>
    </xf>
    <xf numFmtId="183" fontId="132" fillId="2" borderId="73" xfId="15" applyNumberFormat="1" applyBorder="1" applyAlignment="1" applyProtection="1">
      <alignment/>
      <protection locked="0"/>
    </xf>
    <xf numFmtId="0" fontId="54" fillId="0" borderId="14" xfId="0" applyFont="1" applyBorder="1" applyAlignment="1" applyProtection="1">
      <alignment/>
      <protection locked="0"/>
    </xf>
    <xf numFmtId="0" fontId="54" fillId="43" borderId="52" xfId="0" applyFont="1" applyFill="1" applyBorder="1" applyAlignment="1" applyProtection="1">
      <alignment/>
      <protection locked="0"/>
    </xf>
    <xf numFmtId="3" fontId="54" fillId="40" borderId="0" xfId="0" applyNumberFormat="1" applyFont="1" applyFill="1" applyBorder="1" applyAlignment="1" applyProtection="1">
      <alignment/>
      <protection locked="0"/>
    </xf>
    <xf numFmtId="0" fontId="132" fillId="2" borderId="74" xfId="15" applyBorder="1" applyAlignment="1" applyProtection="1">
      <alignment/>
      <protection locked="0"/>
    </xf>
    <xf numFmtId="183" fontId="132" fillId="2" borderId="74" xfId="15" applyNumberFormat="1" applyBorder="1" applyAlignment="1" applyProtection="1">
      <alignment/>
      <protection locked="0"/>
    </xf>
    <xf numFmtId="183" fontId="132" fillId="2" borderId="75" xfId="15" applyNumberFormat="1" applyBorder="1" applyAlignment="1" applyProtection="1">
      <alignment/>
      <protection locked="0"/>
    </xf>
    <xf numFmtId="0" fontId="54" fillId="0" borderId="76" xfId="0" applyFont="1" applyBorder="1" applyAlignment="1" applyProtection="1">
      <alignment/>
      <protection locked="0"/>
    </xf>
    <xf numFmtId="183" fontId="54" fillId="0" borderId="0" xfId="49" applyFont="1" applyBorder="1" applyAlignment="1" applyProtection="1">
      <alignment/>
      <protection locked="0"/>
    </xf>
    <xf numFmtId="183" fontId="60" fillId="0" borderId="77" xfId="49" applyFont="1" applyBorder="1" applyAlignment="1" applyProtection="1">
      <alignment/>
      <protection locked="0"/>
    </xf>
    <xf numFmtId="0" fontId="133" fillId="23" borderId="78" xfId="38" applyBorder="1" applyAlignment="1" applyProtection="1">
      <alignment/>
      <protection locked="0"/>
    </xf>
    <xf numFmtId="0" fontId="133" fillId="23" borderId="72" xfId="38" applyBorder="1" applyAlignment="1" applyProtection="1">
      <alignment/>
      <protection locked="0"/>
    </xf>
    <xf numFmtId="183" fontId="133" fillId="23" borderId="72" xfId="38" applyNumberFormat="1" applyBorder="1" applyAlignment="1" applyProtection="1">
      <alignment/>
      <protection locked="0"/>
    </xf>
    <xf numFmtId="183" fontId="133" fillId="23" borderId="79" xfId="38" applyNumberFormat="1" applyBorder="1" applyAlignment="1" applyProtection="1">
      <alignment/>
      <protection locked="0"/>
    </xf>
    <xf numFmtId="0" fontId="60" fillId="0" borderId="14" xfId="0" applyFont="1" applyBorder="1" applyAlignment="1" applyProtection="1">
      <alignment/>
      <protection locked="0"/>
    </xf>
    <xf numFmtId="0" fontId="60" fillId="43" borderId="14" xfId="0" applyFont="1" applyFill="1" applyBorder="1" applyAlignment="1" applyProtection="1">
      <alignment/>
      <protection locked="0"/>
    </xf>
    <xf numFmtId="183" fontId="60" fillId="0" borderId="0" xfId="49" applyFont="1" applyBorder="1" applyAlignment="1" applyProtection="1">
      <alignment/>
      <protection locked="0"/>
    </xf>
    <xf numFmtId="10" fontId="54" fillId="0" borderId="14" xfId="63" applyNumberFormat="1" applyFont="1" applyFill="1" applyBorder="1" applyAlignment="1" applyProtection="1">
      <alignment/>
      <protection locked="0"/>
    </xf>
    <xf numFmtId="183" fontId="54" fillId="0" borderId="14" xfId="49" applyFont="1" applyFill="1" applyBorder="1" applyAlignment="1" applyProtection="1">
      <alignment/>
      <protection locked="0"/>
    </xf>
    <xf numFmtId="3" fontId="54" fillId="0" borderId="14" xfId="0" applyNumberFormat="1" applyFont="1" applyFill="1" applyBorder="1" applyAlignment="1" applyProtection="1">
      <alignment/>
      <protection locked="0"/>
    </xf>
    <xf numFmtId="183" fontId="98" fillId="35" borderId="77" xfId="49" applyFont="1" applyFill="1" applyBorder="1" applyAlignment="1" applyProtection="1">
      <alignment/>
      <protection locked="0"/>
    </xf>
    <xf numFmtId="183" fontId="54" fillId="0" borderId="14" xfId="0" applyNumberFormat="1" applyFont="1" applyBorder="1" applyAlignment="1" applyProtection="1">
      <alignment/>
      <protection locked="0"/>
    </xf>
    <xf numFmtId="10" fontId="54" fillId="0" borderId="14" xfId="63" applyNumberFormat="1" applyFont="1" applyBorder="1" applyAlignment="1" applyProtection="1">
      <alignment/>
      <protection locked="0"/>
    </xf>
    <xf numFmtId="183" fontId="86" fillId="0" borderId="77" xfId="49" applyFont="1" applyFill="1" applyBorder="1" applyAlignment="1" applyProtection="1">
      <alignment/>
      <protection locked="0"/>
    </xf>
    <xf numFmtId="188" fontId="54" fillId="0" borderId="14" xfId="0" applyNumberFormat="1" applyFont="1" applyBorder="1" applyAlignment="1" applyProtection="1">
      <alignment/>
      <protection locked="0"/>
    </xf>
    <xf numFmtId="183" fontId="54" fillId="43" borderId="14" xfId="0" applyNumberFormat="1" applyFont="1" applyFill="1" applyBorder="1" applyAlignment="1" applyProtection="1">
      <alignment/>
      <protection locked="0"/>
    </xf>
    <xf numFmtId="0" fontId="133" fillId="23" borderId="80" xfId="38" applyBorder="1" applyAlignment="1" applyProtection="1">
      <alignment/>
      <protection locked="0"/>
    </xf>
    <xf numFmtId="0" fontId="133" fillId="23" borderId="74" xfId="38" applyBorder="1" applyAlignment="1" applyProtection="1">
      <alignment/>
      <protection locked="0"/>
    </xf>
    <xf numFmtId="183" fontId="133" fillId="23" borderId="74" xfId="38" applyNumberFormat="1" applyBorder="1" applyAlignment="1" applyProtection="1">
      <alignment/>
      <protection locked="0"/>
    </xf>
    <xf numFmtId="183" fontId="133" fillId="23" borderId="75" xfId="38" applyNumberFormat="1" applyBorder="1" applyAlignment="1" applyProtection="1">
      <alignment horizontal="right"/>
      <protection locked="0"/>
    </xf>
    <xf numFmtId="0" fontId="110" fillId="0" borderId="14" xfId="0" applyFont="1" applyBorder="1" applyAlignment="1" applyProtection="1">
      <alignment/>
      <protection locked="0"/>
    </xf>
    <xf numFmtId="0" fontId="110" fillId="43" borderId="14" xfId="0" applyFont="1" applyFill="1" applyBorder="1" applyAlignment="1" applyProtection="1">
      <alignment/>
      <protection locked="0"/>
    </xf>
    <xf numFmtId="0" fontId="110" fillId="0" borderId="0" xfId="0" applyFont="1" applyBorder="1" applyAlignment="1" applyProtection="1">
      <alignment/>
      <protection locked="0"/>
    </xf>
    <xf numFmtId="0" fontId="54" fillId="0" borderId="77" xfId="0" applyFont="1" applyBorder="1" applyAlignment="1" applyProtection="1">
      <alignment horizontal="center" vertical="center"/>
      <protection locked="0"/>
    </xf>
    <xf numFmtId="0" fontId="54" fillId="0" borderId="0" xfId="0" applyFont="1" applyBorder="1" applyAlignment="1" applyProtection="1">
      <alignment horizontal="right"/>
      <protection locked="0"/>
    </xf>
    <xf numFmtId="0" fontId="89" fillId="0" borderId="0" xfId="0" applyFont="1" applyFill="1" applyBorder="1" applyAlignment="1" applyProtection="1">
      <alignment/>
      <protection locked="0"/>
    </xf>
    <xf numFmtId="183" fontId="97" fillId="0" borderId="0" xfId="49" applyFont="1" applyBorder="1" applyAlignment="1" applyProtection="1">
      <alignment/>
      <protection locked="0"/>
    </xf>
    <xf numFmtId="183" fontId="86" fillId="0" borderId="0" xfId="0" applyNumberFormat="1" applyFont="1" applyBorder="1" applyAlignment="1" applyProtection="1">
      <alignment/>
      <protection locked="0"/>
    </xf>
    <xf numFmtId="183" fontId="99" fillId="0" borderId="77" xfId="49" applyFont="1" applyBorder="1" applyAlignment="1" applyProtection="1">
      <alignment/>
      <protection locked="0"/>
    </xf>
    <xf numFmtId="0" fontId="97" fillId="0" borderId="0" xfId="0" applyFont="1" applyBorder="1" applyAlignment="1" applyProtection="1">
      <alignment/>
      <protection locked="0"/>
    </xf>
    <xf numFmtId="0" fontId="111" fillId="0" borderId="80" xfId="0" applyFont="1" applyBorder="1" applyAlignment="1" applyProtection="1">
      <alignment/>
      <protection locked="0"/>
    </xf>
    <xf numFmtId="0" fontId="54" fillId="0" borderId="74" xfId="0" applyFont="1" applyBorder="1" applyAlignment="1" applyProtection="1">
      <alignment/>
      <protection locked="0"/>
    </xf>
    <xf numFmtId="183" fontId="54" fillId="0" borderId="74" xfId="49" applyFont="1" applyBorder="1" applyAlignment="1" applyProtection="1">
      <alignment/>
      <protection locked="0"/>
    </xf>
    <xf numFmtId="183" fontId="60" fillId="0" borderId="75" xfId="49" applyFont="1" applyBorder="1" applyAlignment="1" applyProtection="1">
      <alignment/>
      <protection locked="0"/>
    </xf>
    <xf numFmtId="0" fontId="60" fillId="0" borderId="74" xfId="0" applyFont="1" applyFill="1" applyBorder="1" applyAlignment="1" applyProtection="1">
      <alignment horizontal="right"/>
      <protection locked="0"/>
    </xf>
    <xf numFmtId="3" fontId="60" fillId="43" borderId="74" xfId="0" applyNumberFormat="1" applyFont="1" applyFill="1" applyBorder="1" applyAlignment="1" applyProtection="1">
      <alignment horizontal="center"/>
      <protection locked="0"/>
    </xf>
    <xf numFmtId="0" fontId="111" fillId="0" borderId="0" xfId="0" applyFont="1" applyBorder="1" applyAlignment="1" applyProtection="1">
      <alignment/>
      <protection locked="0"/>
    </xf>
    <xf numFmtId="0" fontId="60" fillId="0" borderId="0" xfId="0" applyFont="1" applyFill="1" applyBorder="1" applyAlignment="1" applyProtection="1">
      <alignment horizontal="right"/>
      <protection locked="0"/>
    </xf>
    <xf numFmtId="0" fontId="54" fillId="42" borderId="74" xfId="0" applyFont="1" applyFill="1" applyBorder="1" applyAlignment="1" applyProtection="1">
      <alignment/>
      <protection locked="0"/>
    </xf>
    <xf numFmtId="183" fontId="54" fillId="42" borderId="74" xfId="49" applyFont="1" applyFill="1" applyBorder="1" applyAlignment="1" applyProtection="1">
      <alignment/>
      <protection locked="0"/>
    </xf>
    <xf numFmtId="183" fontId="60" fillId="42" borderId="75" xfId="49" applyNumberFormat="1" applyFont="1" applyFill="1" applyBorder="1" applyAlignment="1" applyProtection="1">
      <alignment/>
      <protection locked="0"/>
    </xf>
    <xf numFmtId="10" fontId="54" fillId="0" borderId="0" xfId="63" applyNumberFormat="1" applyFont="1" applyBorder="1" applyAlignment="1" applyProtection="1">
      <alignment/>
      <protection locked="0"/>
    </xf>
    <xf numFmtId="10" fontId="54" fillId="0" borderId="77" xfId="63" applyNumberFormat="1" applyFont="1" applyBorder="1" applyAlignment="1" applyProtection="1">
      <alignment/>
      <protection locked="0"/>
    </xf>
    <xf numFmtId="3" fontId="54" fillId="0" borderId="0" xfId="0" applyNumberFormat="1" applyFont="1" applyBorder="1" applyAlignment="1" applyProtection="1">
      <alignment/>
      <protection locked="0"/>
    </xf>
    <xf numFmtId="0" fontId="54" fillId="0" borderId="81" xfId="0" applyFont="1" applyBorder="1" applyAlignment="1" applyProtection="1">
      <alignment wrapText="1"/>
      <protection locked="0"/>
    </xf>
    <xf numFmtId="0" fontId="54" fillId="0" borderId="82" xfId="0" applyFont="1" applyBorder="1" applyAlignment="1" applyProtection="1">
      <alignment/>
      <protection locked="0"/>
    </xf>
    <xf numFmtId="0" fontId="89" fillId="0" borderId="83" xfId="0" applyFont="1" applyBorder="1" applyAlignment="1" applyProtection="1">
      <alignment horizontal="right" wrapText="1"/>
      <protection locked="0"/>
    </xf>
    <xf numFmtId="207" fontId="54" fillId="0" borderId="84" xfId="49" applyNumberFormat="1" applyFont="1" applyBorder="1" applyAlignment="1" applyProtection="1">
      <alignment horizontal="left"/>
      <protection locked="0"/>
    </xf>
    <xf numFmtId="0" fontId="54" fillId="0" borderId="85" xfId="0" applyFont="1" applyBorder="1" applyAlignment="1" applyProtection="1">
      <alignment/>
      <protection locked="0"/>
    </xf>
    <xf numFmtId="179" fontId="54" fillId="0" borderId="83" xfId="0" applyNumberFormat="1" applyFont="1" applyBorder="1" applyAlignment="1" applyProtection="1">
      <alignment/>
      <protection locked="0"/>
    </xf>
    <xf numFmtId="200" fontId="54" fillId="0" borderId="84" xfId="49" applyNumberFormat="1" applyFont="1" applyBorder="1" applyAlignment="1" applyProtection="1">
      <alignment horizontal="left"/>
      <protection locked="0"/>
    </xf>
    <xf numFmtId="179" fontId="54" fillId="0" borderId="66" xfId="0" applyNumberFormat="1" applyFont="1" applyBorder="1" applyAlignment="1" applyProtection="1">
      <alignment/>
      <protection locked="0"/>
    </xf>
    <xf numFmtId="200" fontId="54" fillId="0" borderId="65" xfId="49" applyNumberFormat="1" applyFont="1" applyBorder="1" applyAlignment="1" applyProtection="1">
      <alignment horizontal="left"/>
      <protection locked="0"/>
    </xf>
    <xf numFmtId="0" fontId="60" fillId="0" borderId="0" xfId="0" applyFont="1" applyBorder="1" applyAlignment="1" applyProtection="1">
      <alignment horizontal="right"/>
      <protection locked="0"/>
    </xf>
    <xf numFmtId="183" fontId="133" fillId="23" borderId="77" xfId="38" applyNumberFormat="1" applyBorder="1" applyAlignment="1" applyProtection="1">
      <alignment/>
      <protection locked="0"/>
    </xf>
    <xf numFmtId="0" fontId="86" fillId="0" borderId="0" xfId="0" applyFont="1" applyBorder="1" applyAlignment="1" applyProtection="1">
      <alignment/>
      <protection locked="0"/>
    </xf>
    <xf numFmtId="183" fontId="54" fillId="0" borderId="74" xfId="0" applyNumberFormat="1" applyFont="1" applyBorder="1" applyAlignment="1" applyProtection="1">
      <alignment/>
      <protection locked="0"/>
    </xf>
    <xf numFmtId="0" fontId="108" fillId="0" borderId="0" xfId="0" applyFont="1" applyBorder="1" applyAlignment="1" applyProtection="1">
      <alignment/>
      <protection locked="0"/>
    </xf>
    <xf numFmtId="9" fontId="54" fillId="0" borderId="0" xfId="0" applyNumberFormat="1" applyFont="1" applyBorder="1" applyAlignment="1" applyProtection="1">
      <alignment/>
      <protection locked="0"/>
    </xf>
    <xf numFmtId="183" fontId="56" fillId="0" borderId="0" xfId="49" applyFont="1" applyFill="1" applyBorder="1" applyAlignment="1" applyProtection="1">
      <alignment/>
      <protection locked="0"/>
    </xf>
    <xf numFmtId="0" fontId="54" fillId="0" borderId="0" xfId="0" applyFont="1" applyFill="1" applyBorder="1" applyAlignment="1" applyProtection="1">
      <alignment horizontal="center"/>
      <protection locked="0"/>
    </xf>
    <xf numFmtId="10" fontId="90" fillId="0" borderId="0" xfId="0" applyNumberFormat="1" applyFont="1" applyFill="1" applyBorder="1" applyAlignment="1" applyProtection="1">
      <alignment/>
      <protection locked="0"/>
    </xf>
    <xf numFmtId="183" fontId="90" fillId="0" borderId="0" xfId="49" applyFont="1" applyFill="1" applyBorder="1" applyAlignment="1" applyProtection="1">
      <alignment/>
      <protection locked="0"/>
    </xf>
    <xf numFmtId="0" fontId="60" fillId="39" borderId="0" xfId="0" applyFont="1" applyFill="1" applyBorder="1" applyAlignment="1" applyProtection="1">
      <alignment/>
      <protection locked="0"/>
    </xf>
    <xf numFmtId="0" fontId="112" fillId="34" borderId="0" xfId="0" applyFont="1" applyFill="1" applyBorder="1" applyAlignment="1" applyProtection="1">
      <alignment horizontal="center"/>
      <protection locked="0"/>
    </xf>
    <xf numFmtId="183" fontId="60" fillId="45" borderId="0" xfId="49" applyFont="1" applyFill="1" applyBorder="1" applyAlignment="1" applyProtection="1">
      <alignment horizontal="left"/>
      <protection locked="0"/>
    </xf>
    <xf numFmtId="0" fontId="60" fillId="43" borderId="86" xfId="0" applyFont="1" applyFill="1" applyBorder="1" applyAlignment="1" applyProtection="1">
      <alignment horizontal="center"/>
      <protection locked="0"/>
    </xf>
    <xf numFmtId="0" fontId="60" fillId="43" borderId="87" xfId="0" applyFont="1" applyFill="1" applyBorder="1" applyAlignment="1" applyProtection="1">
      <alignment horizontal="center"/>
      <protection locked="0"/>
    </xf>
    <xf numFmtId="183" fontId="60" fillId="43" borderId="87" xfId="49" applyFont="1" applyFill="1" applyBorder="1" applyAlignment="1" applyProtection="1">
      <alignment horizontal="center"/>
      <protection locked="0"/>
    </xf>
    <xf numFmtId="0" fontId="60" fillId="43" borderId="70" xfId="0" applyFont="1" applyFill="1" applyBorder="1" applyAlignment="1" applyProtection="1">
      <alignment horizontal="center"/>
      <protection locked="0"/>
    </xf>
    <xf numFmtId="217" fontId="60" fillId="45" borderId="0" xfId="49" applyNumberFormat="1" applyFont="1" applyFill="1" applyBorder="1" applyAlignment="1" applyProtection="1">
      <alignment horizontal="left"/>
      <protection locked="0"/>
    </xf>
    <xf numFmtId="0" fontId="54" fillId="43" borderId="88" xfId="0" applyFont="1" applyFill="1" applyBorder="1" applyAlignment="1" applyProtection="1">
      <alignment/>
      <protection locked="0"/>
    </xf>
    <xf numFmtId="10" fontId="54" fillId="0" borderId="67" xfId="63" applyNumberFormat="1" applyFont="1" applyBorder="1" applyAlignment="1" applyProtection="1">
      <alignment/>
      <protection locked="0"/>
    </xf>
    <xf numFmtId="183" fontId="54" fillId="0" borderId="67" xfId="49" applyFont="1" applyBorder="1" applyAlignment="1" applyProtection="1">
      <alignment/>
      <protection locked="0"/>
    </xf>
    <xf numFmtId="0" fontId="54" fillId="0" borderId="89" xfId="0" applyFont="1" applyBorder="1" applyAlignment="1" applyProtection="1">
      <alignment/>
      <protection locked="0"/>
    </xf>
    <xf numFmtId="0" fontId="152" fillId="0" borderId="90" xfId="0" applyFont="1" applyBorder="1" applyAlignment="1" applyProtection="1">
      <alignment/>
      <protection locked="0"/>
    </xf>
    <xf numFmtId="0" fontId="54" fillId="0" borderId="91" xfId="0" applyFont="1" applyFill="1" applyBorder="1" applyAlignment="1" applyProtection="1">
      <alignment/>
      <protection locked="0"/>
    </xf>
    <xf numFmtId="10" fontId="54" fillId="0" borderId="52" xfId="63" applyNumberFormat="1" applyFont="1" applyBorder="1" applyAlignment="1" applyProtection="1">
      <alignment/>
      <protection locked="0"/>
    </xf>
    <xf numFmtId="10" fontId="54" fillId="0" borderId="52" xfId="49" applyNumberFormat="1" applyFont="1" applyBorder="1" applyAlignment="1" applyProtection="1">
      <alignment/>
      <protection locked="0"/>
    </xf>
    <xf numFmtId="0" fontId="54" fillId="0" borderId="92" xfId="0" applyFont="1" applyBorder="1" applyAlignment="1" applyProtection="1">
      <alignment/>
      <protection locked="0"/>
    </xf>
    <xf numFmtId="10" fontId="153" fillId="0" borderId="90" xfId="0" applyNumberFormat="1" applyFont="1" applyBorder="1" applyAlignment="1" applyProtection="1">
      <alignment horizontal="right"/>
      <protection locked="0"/>
    </xf>
    <xf numFmtId="10" fontId="113" fillId="35" borderId="52" xfId="64" applyNumberFormat="1" applyFont="1" applyFill="1" applyBorder="1" applyAlignment="1" applyProtection="1">
      <alignment/>
      <protection locked="0"/>
    </xf>
    <xf numFmtId="183" fontId="55" fillId="0" borderId="0" xfId="49" applyFont="1" applyBorder="1" applyAlignment="1" applyProtection="1">
      <alignment/>
      <protection locked="0"/>
    </xf>
    <xf numFmtId="184" fontId="54" fillId="0" borderId="52" xfId="63" applyNumberFormat="1" applyFont="1" applyBorder="1" applyAlignment="1" applyProtection="1">
      <alignment/>
      <protection locked="0"/>
    </xf>
    <xf numFmtId="10" fontId="54" fillId="39" borderId="52" xfId="63" applyNumberFormat="1" applyFont="1" applyFill="1" applyBorder="1" applyAlignment="1" applyProtection="1">
      <alignment/>
      <protection locked="0"/>
    </xf>
    <xf numFmtId="0" fontId="153" fillId="0" borderId="90" xfId="0" applyFont="1" applyBorder="1" applyAlignment="1" applyProtection="1">
      <alignment horizontal="right"/>
      <protection locked="0"/>
    </xf>
    <xf numFmtId="10" fontId="113" fillId="39" borderId="52" xfId="63" applyNumberFormat="1" applyFont="1" applyFill="1" applyBorder="1" applyAlignment="1" applyProtection="1">
      <alignment/>
      <protection locked="0"/>
    </xf>
    <xf numFmtId="10" fontId="89" fillId="0" borderId="52" xfId="63" applyNumberFormat="1" applyFont="1" applyBorder="1" applyAlignment="1" applyProtection="1">
      <alignment/>
      <protection locked="0"/>
    </xf>
    <xf numFmtId="0" fontId="86" fillId="35" borderId="0" xfId="0" applyFont="1" applyFill="1" applyBorder="1" applyAlignment="1" applyProtection="1">
      <alignment/>
      <protection locked="0"/>
    </xf>
    <xf numFmtId="183" fontId="60" fillId="35" borderId="0" xfId="49" applyFont="1" applyFill="1" applyBorder="1" applyAlignment="1" applyProtection="1">
      <alignment/>
      <protection locked="0"/>
    </xf>
    <xf numFmtId="0" fontId="54" fillId="35" borderId="0" xfId="0" applyFont="1" applyFill="1" applyBorder="1" applyAlignment="1" applyProtection="1">
      <alignment/>
      <protection locked="0"/>
    </xf>
    <xf numFmtId="207" fontId="154" fillId="0" borderId="90" xfId="0" applyNumberFormat="1" applyFont="1" applyBorder="1" applyAlignment="1" applyProtection="1">
      <alignment horizontal="right"/>
      <protection locked="0"/>
    </xf>
    <xf numFmtId="183" fontId="54" fillId="0" borderId="52" xfId="0" applyNumberFormat="1" applyFont="1" applyBorder="1" applyAlignment="1" applyProtection="1">
      <alignment/>
      <protection locked="0"/>
    </xf>
    <xf numFmtId="215" fontId="155" fillId="35" borderId="0" xfId="49" applyNumberFormat="1" applyFont="1" applyFill="1" applyBorder="1" applyAlignment="1" applyProtection="1">
      <alignment/>
      <protection locked="0"/>
    </xf>
    <xf numFmtId="10" fontId="54" fillId="0" borderId="52" xfId="63" applyNumberFormat="1" applyFont="1" applyFill="1" applyBorder="1" applyAlignment="1" applyProtection="1">
      <alignment/>
      <protection locked="0"/>
    </xf>
    <xf numFmtId="183" fontId="54" fillId="45" borderId="0" xfId="49" applyFont="1" applyFill="1" applyBorder="1" applyAlignment="1" applyProtection="1">
      <alignment horizontal="left" vertical="center"/>
      <protection locked="0"/>
    </xf>
    <xf numFmtId="199" fontId="54" fillId="45" borderId="0" xfId="0" applyNumberFormat="1" applyFont="1" applyFill="1" applyBorder="1" applyAlignment="1" applyProtection="1">
      <alignment horizontal="left"/>
      <protection locked="0"/>
    </xf>
    <xf numFmtId="183" fontId="54" fillId="45" borderId="0" xfId="49" applyFont="1" applyFill="1" applyBorder="1" applyAlignment="1" applyProtection="1">
      <alignment horizontal="left"/>
      <protection locked="0"/>
    </xf>
    <xf numFmtId="0" fontId="86" fillId="35" borderId="0" xfId="0" applyFont="1" applyFill="1" applyBorder="1" applyAlignment="1" applyProtection="1">
      <alignment horizontal="center"/>
      <protection locked="0"/>
    </xf>
    <xf numFmtId="183" fontId="86" fillId="35" borderId="0" xfId="49" applyFont="1" applyFill="1" applyBorder="1" applyAlignment="1" applyProtection="1">
      <alignment horizontal="center"/>
      <protection locked="0"/>
    </xf>
    <xf numFmtId="0" fontId="86" fillId="35" borderId="0" xfId="0" applyFont="1" applyFill="1" applyBorder="1" applyAlignment="1" applyProtection="1">
      <alignment horizontal="left"/>
      <protection locked="0"/>
    </xf>
    <xf numFmtId="183" fontId="55" fillId="35" borderId="0" xfId="49" applyFont="1" applyFill="1" applyBorder="1" applyAlignment="1" applyProtection="1">
      <alignment/>
      <protection locked="0"/>
    </xf>
    <xf numFmtId="0" fontId="54" fillId="35" borderId="0" xfId="0" applyFont="1" applyFill="1" applyBorder="1" applyAlignment="1" applyProtection="1">
      <alignment horizontal="left"/>
      <protection locked="0"/>
    </xf>
    <xf numFmtId="10" fontId="89" fillId="35" borderId="52" xfId="63" applyNumberFormat="1" applyFont="1" applyFill="1" applyBorder="1" applyAlignment="1" applyProtection="1">
      <alignment horizontal="right"/>
      <protection locked="0"/>
    </xf>
    <xf numFmtId="202" fontId="156" fillId="34" borderId="87" xfId="63" applyNumberFormat="1" applyFont="1" applyFill="1" applyBorder="1" applyAlignment="1" applyProtection="1">
      <alignment horizontal="right"/>
      <protection locked="0"/>
    </xf>
    <xf numFmtId="0" fontId="54" fillId="35" borderId="70" xfId="0" applyFont="1" applyFill="1" applyBorder="1" applyAlignment="1" applyProtection="1">
      <alignment/>
      <protection locked="0"/>
    </xf>
    <xf numFmtId="183" fontId="98" fillId="35" borderId="0" xfId="49" applyFont="1" applyFill="1" applyBorder="1" applyAlignment="1" applyProtection="1">
      <alignment/>
      <protection locked="0"/>
    </xf>
    <xf numFmtId="0" fontId="98" fillId="35" borderId="0" xfId="0" applyFont="1" applyFill="1" applyBorder="1" applyAlignment="1" applyProtection="1">
      <alignment horizontal="center"/>
      <protection locked="0"/>
    </xf>
    <xf numFmtId="0" fontId="86" fillId="35" borderId="0" xfId="0" applyFont="1" applyFill="1" applyBorder="1" applyAlignment="1" applyProtection="1">
      <alignment horizontal="right"/>
      <protection locked="0"/>
    </xf>
    <xf numFmtId="196" fontId="86" fillId="35" borderId="0" xfId="49" applyNumberFormat="1" applyFont="1" applyFill="1" applyBorder="1" applyAlignment="1" applyProtection="1">
      <alignment horizontal="center"/>
      <protection locked="0"/>
    </xf>
    <xf numFmtId="196" fontId="86" fillId="35" borderId="0" xfId="49" applyNumberFormat="1" applyFont="1" applyFill="1" applyBorder="1" applyAlignment="1" applyProtection="1">
      <alignment/>
      <protection locked="0"/>
    </xf>
    <xf numFmtId="2" fontId="86" fillId="35" borderId="0" xfId="0" applyNumberFormat="1" applyFont="1" applyFill="1" applyBorder="1" applyAlignment="1" applyProtection="1">
      <alignment horizontal="center"/>
      <protection locked="0"/>
    </xf>
    <xf numFmtId="0" fontId="115" fillId="0" borderId="0" xfId="0" applyFont="1" applyBorder="1" applyAlignment="1" applyProtection="1">
      <alignment horizontal="right" vertical="center" wrapText="1"/>
      <protection locked="0"/>
    </xf>
    <xf numFmtId="0" fontId="116" fillId="0" borderId="52" xfId="0" applyFont="1" applyBorder="1" applyAlignment="1" applyProtection="1">
      <alignment horizontal="center"/>
      <protection locked="0"/>
    </xf>
    <xf numFmtId="183" fontId="54" fillId="0" borderId="52" xfId="49" applyFont="1" applyBorder="1" applyAlignment="1" applyProtection="1">
      <alignment/>
      <protection locked="0"/>
    </xf>
    <xf numFmtId="183" fontId="97" fillId="0" borderId="52" xfId="49" applyFont="1" applyBorder="1" applyAlignment="1" applyProtection="1">
      <alignment/>
      <protection locked="0"/>
    </xf>
    <xf numFmtId="0" fontId="54" fillId="0" borderId="67" xfId="0" applyFont="1" applyBorder="1" applyAlignment="1" applyProtection="1">
      <alignment/>
      <protection locked="0"/>
    </xf>
    <xf numFmtId="3" fontId="157" fillId="46" borderId="0" xfId="0" applyNumberFormat="1" applyFont="1" applyFill="1" applyAlignment="1" applyProtection="1">
      <alignment horizontal="right" wrapText="1"/>
      <protection locked="0"/>
    </xf>
    <xf numFmtId="0" fontId="54" fillId="0" borderId="53" xfId="0" applyFont="1" applyBorder="1" applyAlignment="1" applyProtection="1">
      <alignment/>
      <protection locked="0"/>
    </xf>
    <xf numFmtId="0" fontId="67" fillId="0" borderId="93" xfId="0" applyFont="1" applyFill="1" applyBorder="1" applyAlignment="1" applyProtection="1">
      <alignment horizontal="right" wrapText="1"/>
      <protection locked="0"/>
    </xf>
    <xf numFmtId="3" fontId="67" fillId="0" borderId="93" xfId="0" applyNumberFormat="1" applyFont="1" applyFill="1" applyBorder="1" applyAlignment="1" applyProtection="1">
      <alignment horizontal="right" wrapText="1"/>
      <protection locked="0"/>
    </xf>
    <xf numFmtId="183" fontId="118" fillId="0" borderId="42" xfId="49" applyFont="1" applyBorder="1" applyAlignment="1" applyProtection="1">
      <alignment/>
      <protection locked="0"/>
    </xf>
    <xf numFmtId="3" fontId="119" fillId="0" borderId="93" xfId="0" applyNumberFormat="1" applyFont="1" applyFill="1" applyBorder="1" applyAlignment="1" applyProtection="1">
      <alignment horizontal="right" wrapText="1"/>
      <protection locked="0"/>
    </xf>
    <xf numFmtId="183" fontId="118" fillId="0" borderId="67" xfId="49" applyFont="1" applyBorder="1" applyAlignment="1" applyProtection="1">
      <alignment/>
      <protection locked="0"/>
    </xf>
    <xf numFmtId="0" fontId="57" fillId="0" borderId="0" xfId="0" applyFont="1" applyBorder="1" applyAlignment="1" applyProtection="1">
      <alignment/>
      <protection locked="0"/>
    </xf>
    <xf numFmtId="0" fontId="54" fillId="40" borderId="0" xfId="0" applyFont="1" applyFill="1" applyBorder="1" applyAlignment="1" applyProtection="1">
      <alignment/>
      <protection locked="0"/>
    </xf>
    <xf numFmtId="183" fontId="54" fillId="40" borderId="0" xfId="49" applyFont="1" applyFill="1" applyBorder="1" applyAlignment="1" applyProtection="1">
      <alignment/>
      <protection locked="0"/>
    </xf>
    <xf numFmtId="183" fontId="60" fillId="40" borderId="0" xfId="49" applyFont="1" applyFill="1" applyBorder="1" applyAlignment="1" applyProtection="1">
      <alignment/>
      <protection locked="0"/>
    </xf>
    <xf numFmtId="198" fontId="89" fillId="34" borderId="52" xfId="0" applyNumberFormat="1" applyFont="1" applyFill="1" applyBorder="1" applyAlignment="1" applyProtection="1">
      <alignment horizontal="right"/>
      <protection locked="0"/>
    </xf>
    <xf numFmtId="0" fontId="58" fillId="0" borderId="0" xfId="0" applyFont="1" applyBorder="1" applyAlignment="1" applyProtection="1">
      <alignment/>
      <protection locked="0"/>
    </xf>
    <xf numFmtId="183" fontId="120" fillId="0" borderId="0" xfId="0" applyNumberFormat="1" applyFont="1" applyBorder="1" applyAlignment="1" applyProtection="1">
      <alignment/>
      <protection locked="0"/>
    </xf>
    <xf numFmtId="183" fontId="88" fillId="34" borderId="94" xfId="0" applyNumberFormat="1" applyFont="1" applyFill="1" applyBorder="1" applyAlignment="1" applyProtection="1">
      <alignment horizontal="right"/>
      <protection locked="0"/>
    </xf>
    <xf numFmtId="196" fontId="60" fillId="43" borderId="52" xfId="49" applyNumberFormat="1" applyFont="1" applyFill="1" applyBorder="1" applyAlignment="1" applyProtection="1">
      <alignment horizontal="center"/>
      <protection locked="0"/>
    </xf>
    <xf numFmtId="0" fontId="55" fillId="0" borderId="0" xfId="0" applyFont="1" applyBorder="1" applyAlignment="1" applyProtection="1">
      <alignment/>
      <protection locked="0"/>
    </xf>
    <xf numFmtId="0" fontId="54" fillId="0" borderId="0" xfId="0" applyFont="1" applyBorder="1" applyAlignment="1" applyProtection="1">
      <alignment horizontal="left"/>
      <protection locked="0"/>
    </xf>
    <xf numFmtId="0" fontId="121" fillId="0" borderId="52" xfId="0" applyFont="1" applyBorder="1" applyAlignment="1" applyProtection="1">
      <alignment horizontal="center"/>
      <protection locked="0"/>
    </xf>
    <xf numFmtId="196" fontId="87" fillId="0" borderId="52" xfId="49" applyNumberFormat="1" applyFont="1" applyBorder="1" applyAlignment="1" applyProtection="1">
      <alignment horizontal="center"/>
      <protection locked="0"/>
    </xf>
    <xf numFmtId="196" fontId="87" fillId="0" borderId="52" xfId="49" applyNumberFormat="1" applyFont="1" applyBorder="1" applyAlignment="1" applyProtection="1">
      <alignment/>
      <protection locked="0"/>
    </xf>
    <xf numFmtId="9" fontId="87" fillId="0" borderId="52" xfId="0" applyNumberFormat="1" applyFont="1" applyBorder="1" applyAlignment="1" applyProtection="1">
      <alignment horizontal="center"/>
      <protection locked="0"/>
    </xf>
    <xf numFmtId="0" fontId="87" fillId="0" borderId="0" xfId="0" applyFont="1" applyBorder="1" applyAlignment="1" applyProtection="1">
      <alignment/>
      <protection locked="0"/>
    </xf>
    <xf numFmtId="0" fontId="87" fillId="0" borderId="13" xfId="0" applyFont="1" applyBorder="1" applyAlignment="1" applyProtection="1">
      <alignment/>
      <protection locked="0"/>
    </xf>
    <xf numFmtId="10" fontId="54" fillId="0" borderId="52" xfId="63" applyNumberFormat="1" applyFont="1" applyFill="1" applyBorder="1" applyAlignment="1" applyProtection="1">
      <alignment/>
      <protection/>
    </xf>
    <xf numFmtId="0" fontId="89" fillId="0" borderId="0" xfId="0" applyFont="1" applyBorder="1" applyAlignment="1" applyProtection="1">
      <alignment/>
      <protection locked="0"/>
    </xf>
    <xf numFmtId="0" fontId="133" fillId="23" borderId="39" xfId="38" applyBorder="1" applyAlignment="1" applyProtection="1">
      <alignment horizontal="center" vertical="top"/>
      <protection locked="0"/>
    </xf>
    <xf numFmtId="0" fontId="60" fillId="0" borderId="53" xfId="0" applyFont="1" applyBorder="1" applyAlignment="1" applyProtection="1">
      <alignment/>
      <protection locked="0"/>
    </xf>
    <xf numFmtId="0" fontId="133" fillId="23" borderId="95" xfId="38" applyBorder="1" applyAlignment="1" applyProtection="1">
      <alignment horizontal="center"/>
      <protection locked="0"/>
    </xf>
    <xf numFmtId="0" fontId="133" fillId="23" borderId="96" xfId="38" applyBorder="1" applyAlignment="1" applyProtection="1">
      <alignment horizontal="center"/>
      <protection locked="0"/>
    </xf>
    <xf numFmtId="183" fontId="54" fillId="0" borderId="91" xfId="49" applyFont="1" applyFill="1" applyBorder="1" applyAlignment="1" applyProtection="1">
      <alignment/>
      <protection locked="0"/>
    </xf>
    <xf numFmtId="0" fontId="54" fillId="0" borderId="52" xfId="0" applyFont="1" applyFill="1" applyBorder="1" applyAlignment="1" applyProtection="1">
      <alignment/>
      <protection locked="0"/>
    </xf>
    <xf numFmtId="194" fontId="54" fillId="0" borderId="92" xfId="63" applyNumberFormat="1" applyFont="1" applyFill="1" applyBorder="1" applyAlignment="1" applyProtection="1">
      <alignment/>
      <protection locked="0"/>
    </xf>
    <xf numFmtId="185" fontId="54" fillId="0" borderId="52" xfId="0" applyNumberFormat="1" applyFont="1" applyFill="1" applyBorder="1" applyAlignment="1" applyProtection="1">
      <alignment/>
      <protection locked="0"/>
    </xf>
    <xf numFmtId="9" fontId="54" fillId="0" borderId="92" xfId="63" applyFont="1" applyFill="1" applyBorder="1" applyAlignment="1" applyProtection="1">
      <alignment/>
      <protection locked="0"/>
    </xf>
    <xf numFmtId="9" fontId="54" fillId="0" borderId="0" xfId="63" applyFont="1" applyBorder="1" applyAlignment="1" applyProtection="1">
      <alignment/>
      <protection locked="0"/>
    </xf>
    <xf numFmtId="183" fontId="54" fillId="0" borderId="86" xfId="49" applyFont="1" applyFill="1" applyBorder="1" applyAlignment="1" applyProtection="1">
      <alignment/>
      <protection locked="0"/>
    </xf>
    <xf numFmtId="0" fontId="54" fillId="0" borderId="87" xfId="0" applyFont="1" applyFill="1" applyBorder="1" applyAlignment="1" applyProtection="1">
      <alignment/>
      <protection locked="0"/>
    </xf>
    <xf numFmtId="10" fontId="54" fillId="0" borderId="87" xfId="63" applyNumberFormat="1" applyFont="1" applyFill="1" applyBorder="1" applyAlignment="1" applyProtection="1">
      <alignment/>
      <protection locked="0"/>
    </xf>
    <xf numFmtId="9" fontId="54" fillId="0" borderId="70" xfId="63" applyFont="1" applyFill="1" applyBorder="1" applyAlignment="1" applyProtection="1">
      <alignment/>
      <protection locked="0"/>
    </xf>
    <xf numFmtId="196" fontId="54" fillId="0" borderId="0" xfId="49" applyNumberFormat="1" applyFont="1" applyBorder="1" applyAlignment="1" applyProtection="1">
      <alignment/>
      <protection locked="0"/>
    </xf>
    <xf numFmtId="194" fontId="54" fillId="0" borderId="0" xfId="0" applyNumberFormat="1" applyFont="1" applyBorder="1" applyAlignment="1" applyProtection="1">
      <alignment/>
      <protection locked="0"/>
    </xf>
    <xf numFmtId="185" fontId="54" fillId="0" borderId="0" xfId="0" applyNumberFormat="1" applyFont="1" applyBorder="1" applyAlignment="1" applyProtection="1">
      <alignment/>
      <protection locked="0"/>
    </xf>
    <xf numFmtId="194" fontId="60" fillId="0" borderId="42" xfId="63" applyNumberFormat="1" applyFont="1" applyBorder="1" applyAlignment="1" applyProtection="1">
      <alignment vertical="center"/>
      <protection locked="0"/>
    </xf>
    <xf numFmtId="0" fontId="54" fillId="0" borderId="95" xfId="0" applyFont="1" applyBorder="1" applyAlignment="1" applyProtection="1">
      <alignment/>
      <protection locked="0"/>
    </xf>
    <xf numFmtId="0" fontId="54" fillId="0" borderId="96" xfId="0" applyFont="1" applyBorder="1" applyAlignment="1" applyProtection="1">
      <alignment/>
      <protection locked="0"/>
    </xf>
    <xf numFmtId="9" fontId="54" fillId="0" borderId="97" xfId="63" applyFont="1" applyBorder="1" applyAlignment="1" applyProtection="1">
      <alignment/>
      <protection locked="0"/>
    </xf>
    <xf numFmtId="194" fontId="60" fillId="0" borderId="0" xfId="0" applyNumberFormat="1" applyFont="1" applyBorder="1" applyAlignment="1" applyProtection="1">
      <alignment/>
      <protection locked="0"/>
    </xf>
    <xf numFmtId="9" fontId="54" fillId="0" borderId="92" xfId="63" applyNumberFormat="1" applyFont="1" applyFill="1" applyBorder="1" applyAlignment="1" applyProtection="1">
      <alignment horizontal="right"/>
      <protection locked="0"/>
    </xf>
    <xf numFmtId="9" fontId="54" fillId="0" borderId="70" xfId="63" applyNumberFormat="1" applyFont="1" applyFill="1" applyBorder="1" applyAlignment="1" applyProtection="1">
      <alignment horizontal="right"/>
      <protection locked="0"/>
    </xf>
    <xf numFmtId="196" fontId="97" fillId="0" borderId="0" xfId="0" applyNumberFormat="1" applyFont="1" applyBorder="1" applyAlignment="1" applyProtection="1">
      <alignment/>
      <protection locked="0"/>
    </xf>
    <xf numFmtId="183" fontId="97" fillId="0" borderId="0" xfId="0" applyNumberFormat="1" applyFont="1" applyBorder="1" applyAlignment="1" applyProtection="1">
      <alignment/>
      <protection locked="0"/>
    </xf>
    <xf numFmtId="0" fontId="54" fillId="0" borderId="98" xfId="0" applyFont="1" applyBorder="1" applyAlignment="1" applyProtection="1">
      <alignment/>
      <protection locked="0"/>
    </xf>
    <xf numFmtId="0" fontId="60" fillId="0" borderId="99" xfId="0" applyFont="1" applyBorder="1" applyAlignment="1" applyProtection="1">
      <alignment/>
      <protection locked="0"/>
    </xf>
    <xf numFmtId="0" fontId="54" fillId="0" borderId="100" xfId="0" applyFont="1" applyBorder="1" applyAlignment="1" applyProtection="1">
      <alignment/>
      <protection locked="0"/>
    </xf>
    <xf numFmtId="0" fontId="54" fillId="0" borderId="101" xfId="0" applyFont="1" applyBorder="1" applyAlignment="1" applyProtection="1">
      <alignment/>
      <protection locked="0"/>
    </xf>
    <xf numFmtId="183" fontId="60" fillId="0" borderId="0" xfId="49" applyFont="1" applyFill="1" applyBorder="1" applyAlignment="1" applyProtection="1">
      <alignment horizontal="right"/>
      <protection locked="0"/>
    </xf>
    <xf numFmtId="10" fontId="90" fillId="41" borderId="0" xfId="0" applyNumberFormat="1" applyFont="1" applyFill="1" applyBorder="1" applyAlignment="1" applyProtection="1">
      <alignment/>
      <protection locked="0"/>
    </xf>
    <xf numFmtId="183" fontId="90" fillId="41" borderId="0" xfId="49" applyFont="1" applyFill="1" applyBorder="1" applyAlignment="1" applyProtection="1">
      <alignment/>
      <protection locked="0"/>
    </xf>
    <xf numFmtId="0" fontId="60" fillId="0" borderId="102" xfId="0" applyFont="1" applyBorder="1" applyAlignment="1" applyProtection="1">
      <alignment horizontal="center" vertical="top" wrapText="1"/>
      <protection locked="0"/>
    </xf>
    <xf numFmtId="0" fontId="60" fillId="0" borderId="12" xfId="0" applyFont="1" applyBorder="1" applyAlignment="1" applyProtection="1">
      <alignment horizontal="center" vertical="top" wrapText="1"/>
      <protection locked="0"/>
    </xf>
    <xf numFmtId="0" fontId="60" fillId="0" borderId="103" xfId="0" applyFont="1" applyBorder="1" applyAlignment="1" applyProtection="1">
      <alignment horizontal="center" vertical="top" wrapText="1"/>
      <protection locked="0"/>
    </xf>
    <xf numFmtId="0" fontId="60" fillId="0" borderId="52" xfId="0" applyFont="1" applyFill="1" applyBorder="1" applyAlignment="1" applyProtection="1">
      <alignment horizontal="center" vertical="top" wrapText="1"/>
      <protection locked="0"/>
    </xf>
    <xf numFmtId="0" fontId="54" fillId="0" borderId="52" xfId="0" applyFont="1" applyBorder="1" applyAlignment="1" applyProtection="1">
      <alignment/>
      <protection locked="0"/>
    </xf>
    <xf numFmtId="183" fontId="97" fillId="0" borderId="0" xfId="49" applyFont="1" applyFill="1" applyBorder="1" applyAlignment="1" applyProtection="1">
      <alignment/>
      <protection locked="0"/>
    </xf>
    <xf numFmtId="0" fontId="97" fillId="0" borderId="0" xfId="0" applyFont="1" applyFill="1" applyBorder="1" applyAlignment="1" applyProtection="1">
      <alignment/>
      <protection locked="0"/>
    </xf>
    <xf numFmtId="194" fontId="97" fillId="0" borderId="0" xfId="63" applyNumberFormat="1" applyFont="1" applyFill="1" applyBorder="1" applyAlignment="1" applyProtection="1">
      <alignment/>
      <protection locked="0"/>
    </xf>
    <xf numFmtId="0" fontId="60" fillId="0" borderId="104" xfId="0" applyFont="1" applyBorder="1" applyAlignment="1" applyProtection="1">
      <alignment horizontal="center" vertical="top" wrapText="1"/>
      <protection locked="0"/>
    </xf>
    <xf numFmtId="0" fontId="60" fillId="0" borderId="105" xfId="0" applyFont="1" applyBorder="1" applyAlignment="1" applyProtection="1">
      <alignment horizontal="center" vertical="top" wrapText="1"/>
      <protection locked="0"/>
    </xf>
    <xf numFmtId="0" fontId="60" fillId="0" borderId="106" xfId="0" applyFont="1" applyBorder="1" applyAlignment="1" applyProtection="1">
      <alignment horizontal="center" vertical="top" wrapText="1"/>
      <protection locked="0"/>
    </xf>
    <xf numFmtId="0" fontId="60" fillId="0" borderId="87" xfId="0" applyFont="1" applyBorder="1" applyAlignment="1" applyProtection="1">
      <alignment horizontal="center"/>
      <protection locked="0"/>
    </xf>
    <xf numFmtId="0" fontId="60" fillId="0" borderId="87" xfId="0" applyFont="1" applyFill="1" applyBorder="1" applyAlignment="1" applyProtection="1">
      <alignment horizontal="center" vertical="top" wrapText="1"/>
      <protection locked="0"/>
    </xf>
    <xf numFmtId="0" fontId="60" fillId="0" borderId="70" xfId="0" applyFont="1" applyFill="1" applyBorder="1" applyAlignment="1" applyProtection="1">
      <alignment horizontal="center" vertical="top" wrapText="1"/>
      <protection locked="0"/>
    </xf>
    <xf numFmtId="0" fontId="54" fillId="36" borderId="107" xfId="0" applyFont="1" applyFill="1" applyBorder="1" applyAlignment="1" applyProtection="1">
      <alignment horizontal="center" vertical="top" wrapText="1"/>
      <protection locked="0"/>
    </xf>
    <xf numFmtId="194" fontId="54" fillId="36" borderId="108" xfId="63" applyNumberFormat="1" applyFont="1" applyFill="1" applyBorder="1" applyAlignment="1" applyProtection="1">
      <alignment horizontal="center" vertical="top" wrapText="1"/>
      <protection locked="0"/>
    </xf>
    <xf numFmtId="194" fontId="54" fillId="0" borderId="108" xfId="0" applyNumberFormat="1" applyFont="1" applyBorder="1" applyAlignment="1" applyProtection="1">
      <alignment horizontal="center" vertical="top" wrapText="1"/>
      <protection locked="0"/>
    </xf>
    <xf numFmtId="194" fontId="54" fillId="0" borderId="109" xfId="0" applyNumberFormat="1" applyFont="1" applyBorder="1" applyAlignment="1" applyProtection="1">
      <alignment horizontal="center" vertical="top" wrapText="1"/>
      <protection locked="0"/>
    </xf>
    <xf numFmtId="0" fontId="54" fillId="0" borderId="110" xfId="0" applyFont="1" applyBorder="1" applyAlignment="1" applyProtection="1">
      <alignment/>
      <protection locked="0"/>
    </xf>
    <xf numFmtId="0" fontId="54" fillId="0" borderId="110" xfId="0" applyFont="1" applyBorder="1" applyAlignment="1" applyProtection="1">
      <alignment horizontal="center"/>
      <protection locked="0"/>
    </xf>
    <xf numFmtId="0" fontId="54" fillId="0" borderId="59" xfId="0" applyFont="1" applyBorder="1" applyAlignment="1" applyProtection="1">
      <alignment horizontal="center"/>
      <protection locked="0"/>
    </xf>
    <xf numFmtId="0" fontId="54" fillId="36" borderId="111" xfId="0" applyFont="1" applyFill="1" applyBorder="1" applyAlignment="1" applyProtection="1">
      <alignment horizontal="center" vertical="top" wrapText="1"/>
      <protection locked="0"/>
    </xf>
    <xf numFmtId="194" fontId="54" fillId="36" borderId="112" xfId="63" applyNumberFormat="1" applyFont="1" applyFill="1" applyBorder="1" applyAlignment="1" applyProtection="1">
      <alignment horizontal="center" vertical="top" wrapText="1"/>
      <protection locked="0"/>
    </xf>
    <xf numFmtId="194" fontId="54" fillId="0" borderId="112" xfId="0" applyNumberFormat="1" applyFont="1" applyBorder="1" applyAlignment="1" applyProtection="1">
      <alignment horizontal="center" vertical="top" wrapText="1"/>
      <protection locked="0"/>
    </xf>
    <xf numFmtId="194" fontId="54" fillId="0" borderId="113" xfId="0" applyNumberFormat="1" applyFont="1" applyBorder="1" applyAlignment="1" applyProtection="1">
      <alignment horizontal="center" vertical="top" wrapText="1"/>
      <protection locked="0"/>
    </xf>
    <xf numFmtId="0" fontId="54" fillId="0" borderId="29" xfId="0" applyFont="1" applyBorder="1" applyAlignment="1" applyProtection="1">
      <alignment/>
      <protection locked="0"/>
    </xf>
    <xf numFmtId="0" fontId="54" fillId="0" borderId="29" xfId="0" applyFont="1" applyBorder="1" applyAlignment="1" applyProtection="1">
      <alignment horizontal="center"/>
      <protection locked="0"/>
    </xf>
    <xf numFmtId="0" fontId="54" fillId="0" borderId="41" xfId="0" applyFont="1" applyBorder="1" applyAlignment="1" applyProtection="1">
      <alignment horizontal="center"/>
      <protection locked="0"/>
    </xf>
    <xf numFmtId="0" fontId="54" fillId="0" borderId="29" xfId="0" applyFont="1" applyFill="1" applyBorder="1" applyAlignment="1" applyProtection="1">
      <alignment horizontal="center"/>
      <protection locked="0"/>
    </xf>
    <xf numFmtId="0" fontId="54" fillId="0" borderId="41" xfId="0" applyFont="1" applyFill="1" applyBorder="1" applyAlignment="1" applyProtection="1">
      <alignment horizontal="center"/>
      <protection locked="0"/>
    </xf>
    <xf numFmtId="0" fontId="54" fillId="36" borderId="114" xfId="0" applyFont="1" applyFill="1" applyBorder="1" applyAlignment="1" applyProtection="1">
      <alignment horizontal="center" vertical="top" wrapText="1"/>
      <protection locked="0"/>
    </xf>
    <xf numFmtId="194" fontId="54" fillId="36" borderId="115" xfId="63" applyNumberFormat="1" applyFont="1" applyFill="1" applyBorder="1" applyAlignment="1" applyProtection="1">
      <alignment horizontal="center" vertical="top" wrapText="1"/>
      <protection locked="0"/>
    </xf>
    <xf numFmtId="194" fontId="54" fillId="0" borderId="115" xfId="0" applyNumberFormat="1" applyFont="1" applyBorder="1" applyAlignment="1" applyProtection="1">
      <alignment horizontal="center" vertical="top" wrapText="1"/>
      <protection locked="0"/>
    </xf>
    <xf numFmtId="194" fontId="54" fillId="0" borderId="116" xfId="0" applyNumberFormat="1" applyFont="1" applyBorder="1" applyAlignment="1" applyProtection="1">
      <alignment horizontal="center" vertical="top" wrapText="1"/>
      <protection locked="0"/>
    </xf>
    <xf numFmtId="0" fontId="54" fillId="0" borderId="31" xfId="0" applyFont="1" applyBorder="1" applyAlignment="1" applyProtection="1">
      <alignment/>
      <protection locked="0"/>
    </xf>
    <xf numFmtId="0" fontId="54" fillId="0" borderId="31" xfId="0" applyFont="1" applyFill="1" applyBorder="1" applyAlignment="1" applyProtection="1">
      <alignment horizontal="center"/>
      <protection locked="0"/>
    </xf>
    <xf numFmtId="0" fontId="54" fillId="0" borderId="32" xfId="0" applyFont="1" applyFill="1" applyBorder="1" applyAlignment="1" applyProtection="1">
      <alignment horizontal="center"/>
      <protection locked="0"/>
    </xf>
    <xf numFmtId="0" fontId="112" fillId="0" borderId="67" xfId="49" applyNumberFormat="1" applyFont="1" applyBorder="1" applyAlignment="1" applyProtection="1">
      <alignment horizontal="center"/>
      <protection locked="0"/>
    </xf>
    <xf numFmtId="10" fontId="54" fillId="41" borderId="52" xfId="63" applyNumberFormat="1" applyFont="1" applyFill="1" applyBorder="1" applyAlignment="1" applyProtection="1">
      <alignment/>
      <protection/>
    </xf>
    <xf numFmtId="9" fontId="54" fillId="41" borderId="52" xfId="63" applyFont="1" applyFill="1" applyBorder="1" applyAlignment="1" applyProtection="1">
      <alignment/>
      <protection/>
    </xf>
    <xf numFmtId="194" fontId="54" fillId="41" borderId="52" xfId="63" applyNumberFormat="1" applyFont="1" applyFill="1" applyBorder="1" applyAlignment="1" applyProtection="1">
      <alignment/>
      <protection/>
    </xf>
    <xf numFmtId="3" fontId="60" fillId="41" borderId="0" xfId="0" applyNumberFormat="1" applyFont="1" applyFill="1" applyBorder="1" applyAlignment="1" applyProtection="1">
      <alignment horizontal="center"/>
      <protection locked="0"/>
    </xf>
    <xf numFmtId="0" fontId="60" fillId="0" borderId="72" xfId="0" applyFont="1" applyFill="1" applyBorder="1" applyAlignment="1" applyProtection="1">
      <alignment horizontal="center"/>
      <protection locked="0"/>
    </xf>
    <xf numFmtId="3" fontId="54" fillId="40" borderId="16" xfId="0" applyNumberFormat="1" applyFont="1" applyFill="1" applyBorder="1" applyAlignment="1" applyProtection="1">
      <alignment/>
      <protection locked="0"/>
    </xf>
    <xf numFmtId="183" fontId="54" fillId="0" borderId="0" xfId="0" applyNumberFormat="1" applyFont="1" applyBorder="1" applyAlignment="1" applyProtection="1">
      <alignment/>
      <protection locked="0"/>
    </xf>
    <xf numFmtId="183" fontId="158" fillId="41" borderId="97" xfId="49" applyFont="1" applyFill="1" applyBorder="1" applyAlignment="1">
      <alignment vertical="center"/>
    </xf>
    <xf numFmtId="206" fontId="54" fillId="0" borderId="0" xfId="0" applyNumberFormat="1" applyFont="1" applyBorder="1" applyAlignment="1" applyProtection="1">
      <alignment/>
      <protection locked="0"/>
    </xf>
    <xf numFmtId="183" fontId="149" fillId="0" borderId="0" xfId="49" applyFont="1" applyBorder="1" applyAlignment="1" applyProtection="1">
      <alignment horizontal="left"/>
      <protection locked="0"/>
    </xf>
    <xf numFmtId="189" fontId="54" fillId="0" borderId="0" xfId="49" applyNumberFormat="1" applyFont="1" applyBorder="1" applyAlignment="1">
      <alignment/>
    </xf>
    <xf numFmtId="183" fontId="60" fillId="0" borderId="0" xfId="49" applyFont="1" applyBorder="1" applyAlignment="1">
      <alignment horizontal="center"/>
    </xf>
    <xf numFmtId="0" fontId="150" fillId="0" borderId="0" xfId="0" applyFont="1" applyFill="1" applyBorder="1" applyAlignment="1">
      <alignment/>
    </xf>
    <xf numFmtId="0" fontId="54" fillId="47" borderId="14" xfId="0" applyFont="1" applyFill="1" applyBorder="1" applyAlignment="1" applyProtection="1">
      <alignment/>
      <protection locked="0"/>
    </xf>
    <xf numFmtId="10" fontId="54" fillId="47" borderId="14" xfId="63" applyNumberFormat="1" applyFont="1" applyFill="1" applyBorder="1" applyAlignment="1" applyProtection="1">
      <alignment/>
      <protection locked="0"/>
    </xf>
    <xf numFmtId="10" fontId="54" fillId="47" borderId="52" xfId="63" applyNumberFormat="1" applyFont="1" applyFill="1" applyBorder="1" applyAlignment="1" applyProtection="1">
      <alignment/>
      <protection/>
    </xf>
    <xf numFmtId="10" fontId="89" fillId="47" borderId="52" xfId="63" applyNumberFormat="1" applyFont="1" applyFill="1" applyBorder="1" applyAlignment="1" applyProtection="1">
      <alignment/>
      <protection locked="0"/>
    </xf>
    <xf numFmtId="0" fontId="89" fillId="47" borderId="92" xfId="0" applyFont="1" applyFill="1" applyBorder="1" applyAlignment="1" applyProtection="1">
      <alignment/>
      <protection locked="0"/>
    </xf>
    <xf numFmtId="0" fontId="54" fillId="13" borderId="14" xfId="0" applyFont="1" applyFill="1" applyBorder="1" applyAlignment="1" applyProtection="1">
      <alignment/>
      <protection locked="0"/>
    </xf>
    <xf numFmtId="10" fontId="54" fillId="13" borderId="14" xfId="63" applyNumberFormat="1" applyFont="1" applyFill="1" applyBorder="1" applyAlignment="1" applyProtection="1">
      <alignment/>
      <protection locked="0"/>
    </xf>
    <xf numFmtId="183" fontId="155" fillId="0" borderId="77" xfId="49" applyFont="1" applyBorder="1" applyAlignment="1" applyProtection="1">
      <alignment/>
      <protection locked="0"/>
    </xf>
    <xf numFmtId="10" fontId="60" fillId="0" borderId="77" xfId="63" applyNumberFormat="1" applyFont="1" applyBorder="1" applyAlignment="1" applyProtection="1">
      <alignment/>
      <protection locked="0"/>
    </xf>
    <xf numFmtId="183" fontId="149" fillId="0" borderId="77" xfId="49" applyFont="1" applyBorder="1" applyAlignment="1" applyProtection="1">
      <alignment/>
      <protection locked="0"/>
    </xf>
    <xf numFmtId="183" fontId="149" fillId="0" borderId="77" xfId="63" applyNumberFormat="1" applyFont="1" applyBorder="1" applyAlignment="1" applyProtection="1">
      <alignment/>
      <protection locked="0"/>
    </xf>
    <xf numFmtId="183" fontId="54" fillId="13" borderId="14" xfId="49" applyFont="1" applyFill="1" applyBorder="1" applyAlignment="1" applyProtection="1">
      <alignment/>
      <protection locked="0"/>
    </xf>
    <xf numFmtId="183" fontId="54" fillId="47" borderId="14" xfId="49" applyFont="1" applyFill="1" applyBorder="1" applyAlignment="1" applyProtection="1">
      <alignment/>
      <protection locked="0"/>
    </xf>
    <xf numFmtId="0" fontId="54" fillId="0" borderId="14" xfId="0" applyFont="1" applyBorder="1" applyAlignment="1">
      <alignment/>
    </xf>
    <xf numFmtId="183" fontId="54" fillId="47" borderId="14" xfId="49" applyFont="1" applyFill="1" applyBorder="1" applyAlignment="1">
      <alignment/>
    </xf>
    <xf numFmtId="0" fontId="54" fillId="47" borderId="52" xfId="0" applyFont="1" applyFill="1" applyBorder="1" applyAlignment="1">
      <alignment horizontal="left"/>
    </xf>
    <xf numFmtId="10" fontId="54" fillId="47" borderId="14" xfId="63" applyNumberFormat="1" applyFont="1" applyFill="1" applyBorder="1" applyAlignment="1">
      <alignment/>
    </xf>
    <xf numFmtId="183" fontId="54" fillId="47" borderId="52" xfId="49" applyFont="1" applyFill="1" applyBorder="1" applyAlignment="1">
      <alignment horizontal="center"/>
    </xf>
    <xf numFmtId="183" fontId="87" fillId="47" borderId="14" xfId="49" applyFont="1" applyFill="1" applyBorder="1" applyAlignment="1">
      <alignment/>
    </xf>
    <xf numFmtId="183" fontId="54" fillId="47" borderId="52" xfId="49" applyFont="1" applyFill="1" applyBorder="1" applyAlignment="1">
      <alignment/>
    </xf>
    <xf numFmtId="2" fontId="54" fillId="47" borderId="14" xfId="0" applyNumberFormat="1" applyFont="1" applyFill="1" applyBorder="1" applyAlignment="1">
      <alignment/>
    </xf>
    <xf numFmtId="0" fontId="54" fillId="47" borderId="14" xfId="0" applyFont="1" applyFill="1" applyBorder="1" applyAlignment="1">
      <alignment/>
    </xf>
    <xf numFmtId="183" fontId="54" fillId="48" borderId="14" xfId="49" applyFont="1" applyFill="1" applyBorder="1" applyAlignment="1">
      <alignment/>
    </xf>
    <xf numFmtId="9" fontId="133" fillId="23" borderId="67" xfId="38" applyNumberFormat="1" applyBorder="1" applyAlignment="1">
      <alignment horizontal="center"/>
    </xf>
    <xf numFmtId="10" fontId="87" fillId="47" borderId="69" xfId="63" applyNumberFormat="1" applyFont="1" applyFill="1" applyBorder="1" applyAlignment="1">
      <alignment/>
    </xf>
    <xf numFmtId="183" fontId="54" fillId="0" borderId="0" xfId="49" applyFont="1" applyAlignment="1">
      <alignment/>
    </xf>
    <xf numFmtId="183" fontId="54" fillId="0" borderId="0" xfId="49" applyFont="1" applyBorder="1" applyAlignment="1">
      <alignment/>
    </xf>
    <xf numFmtId="2" fontId="159" fillId="41" borderId="71" xfId="0" applyNumberFormat="1" applyFont="1" applyFill="1" applyBorder="1" applyAlignment="1">
      <alignment horizontal="center" vertical="center"/>
    </xf>
    <xf numFmtId="10" fontId="108" fillId="42" borderId="52" xfId="15" applyNumberFormat="1" applyFont="1" applyFill="1" applyBorder="1" applyAlignment="1">
      <alignment/>
    </xf>
    <xf numFmtId="43" fontId="54" fillId="0" borderId="0" xfId="0" applyNumberFormat="1" applyFont="1" applyBorder="1" applyAlignment="1">
      <alignment/>
    </xf>
    <xf numFmtId="183" fontId="92" fillId="0" borderId="14" xfId="49" applyFont="1" applyBorder="1" applyAlignment="1">
      <alignment horizontal="right"/>
    </xf>
    <xf numFmtId="183" fontId="92" fillId="0" borderId="0" xfId="49" applyFont="1" applyBorder="1" applyAlignment="1">
      <alignment horizontal="right"/>
    </xf>
    <xf numFmtId="183" fontId="132" fillId="0" borderId="0" xfId="15" applyNumberFormat="1" applyFill="1" applyBorder="1" applyAlignment="1">
      <alignment/>
    </xf>
    <xf numFmtId="2" fontId="132" fillId="0" borderId="0" xfId="15" applyNumberFormat="1" applyFill="1" applyBorder="1" applyAlignment="1">
      <alignment/>
    </xf>
    <xf numFmtId="183" fontId="123" fillId="0" borderId="14" xfId="49" applyFont="1" applyBorder="1" applyAlignment="1">
      <alignment horizontal="right"/>
    </xf>
    <xf numFmtId="183" fontId="123" fillId="0" borderId="0" xfId="49" applyFont="1" applyBorder="1" applyAlignment="1">
      <alignment horizontal="right"/>
    </xf>
    <xf numFmtId="183" fontId="123" fillId="0" borderId="13" xfId="49" applyFont="1" applyBorder="1" applyAlignment="1">
      <alignment horizontal="right"/>
    </xf>
    <xf numFmtId="0" fontId="108" fillId="42" borderId="14" xfId="15" applyFont="1" applyFill="1" applyBorder="1" applyAlignment="1">
      <alignment wrapText="1"/>
    </xf>
    <xf numFmtId="0" fontId="108" fillId="42" borderId="52" xfId="15" applyNumberFormat="1" applyFont="1" applyFill="1" applyBorder="1" applyAlignment="1">
      <alignment horizontal="center" vertical="center"/>
    </xf>
    <xf numFmtId="0" fontId="108" fillId="42" borderId="14" xfId="15" applyFont="1" applyFill="1" applyBorder="1" applyAlignment="1">
      <alignment horizontal="center"/>
    </xf>
    <xf numFmtId="10" fontId="54" fillId="0" borderId="0" xfId="63" applyNumberFormat="1" applyFont="1" applyFill="1" applyBorder="1" applyAlignment="1">
      <alignment/>
    </xf>
    <xf numFmtId="3" fontId="160" fillId="0" borderId="0" xfId="0" applyNumberFormat="1" applyFont="1" applyAlignment="1">
      <alignment/>
    </xf>
    <xf numFmtId="10" fontId="159" fillId="0" borderId="0" xfId="63" applyNumberFormat="1" applyFont="1" applyBorder="1" applyAlignment="1">
      <alignment/>
    </xf>
    <xf numFmtId="0" fontId="159" fillId="0" borderId="0" xfId="0" applyFont="1" applyBorder="1" applyAlignment="1">
      <alignment/>
    </xf>
    <xf numFmtId="183" fontId="108" fillId="2" borderId="52" xfId="15" applyNumberFormat="1" applyFont="1" applyBorder="1" applyAlignment="1">
      <alignment/>
    </xf>
    <xf numFmtId="0" fontId="108" fillId="2" borderId="17" xfId="15" applyFont="1" applyBorder="1" applyAlignment="1">
      <alignment horizontal="center"/>
    </xf>
    <xf numFmtId="0" fontId="54" fillId="0" borderId="14" xfId="0" applyFont="1" applyBorder="1" applyAlignment="1">
      <alignment/>
    </xf>
    <xf numFmtId="10" fontId="89" fillId="49" borderId="52" xfId="63" applyNumberFormat="1" applyFont="1" applyFill="1" applyBorder="1" applyAlignment="1" applyProtection="1">
      <alignment/>
      <protection locked="0"/>
    </xf>
    <xf numFmtId="0" fontId="89" fillId="49" borderId="92" xfId="0" applyFont="1" applyFill="1" applyBorder="1" applyAlignment="1" applyProtection="1">
      <alignment/>
      <protection locked="0"/>
    </xf>
    <xf numFmtId="183" fontId="54" fillId="49" borderId="0" xfId="49" applyFont="1" applyFill="1" applyBorder="1" applyAlignment="1" applyProtection="1">
      <alignment horizontal="left"/>
      <protection locked="0"/>
    </xf>
    <xf numFmtId="183" fontId="54" fillId="49" borderId="0" xfId="49" applyFont="1" applyFill="1" applyBorder="1" applyAlignment="1" applyProtection="1">
      <alignment horizontal="left" vertical="center"/>
      <protection locked="0"/>
    </xf>
    <xf numFmtId="183" fontId="55" fillId="49" borderId="0" xfId="49" applyFont="1" applyFill="1" applyBorder="1" applyAlignment="1" applyProtection="1">
      <alignment/>
      <protection locked="0"/>
    </xf>
    <xf numFmtId="0" fontId="60" fillId="0" borderId="0" xfId="0" applyFont="1" applyAlignment="1">
      <alignment horizontal="center"/>
    </xf>
    <xf numFmtId="0" fontId="133" fillId="23" borderId="83" xfId="38" applyFont="1" applyBorder="1" applyAlignment="1" applyProtection="1">
      <alignment horizontal="center" vertical="center"/>
      <protection locked="0"/>
    </xf>
    <xf numFmtId="0" fontId="133" fillId="23" borderId="0" xfId="38" applyFont="1" applyBorder="1" applyAlignment="1" applyProtection="1">
      <alignment horizontal="center" vertical="center"/>
      <protection locked="0"/>
    </xf>
    <xf numFmtId="0" fontId="133" fillId="23" borderId="84" xfId="38" applyFont="1" applyBorder="1" applyAlignment="1" applyProtection="1">
      <alignment horizontal="center" vertical="center"/>
      <protection locked="0"/>
    </xf>
    <xf numFmtId="0" fontId="60" fillId="0" borderId="67" xfId="0" applyFont="1" applyBorder="1" applyAlignment="1" applyProtection="1">
      <alignment horizontal="center"/>
      <protection locked="0"/>
    </xf>
    <xf numFmtId="195" fontId="125" fillId="41" borderId="117" xfId="0" applyNumberFormat="1" applyFont="1" applyFill="1" applyBorder="1" applyAlignment="1" applyProtection="1">
      <alignment horizontal="justify" vertical="center" wrapText="1"/>
      <protection locked="0"/>
    </xf>
    <xf numFmtId="195" fontId="125" fillId="41" borderId="37" xfId="0" applyNumberFormat="1" applyFont="1" applyFill="1" applyBorder="1" applyAlignment="1" applyProtection="1">
      <alignment horizontal="justify" vertical="center" wrapText="1"/>
      <protection locked="0"/>
    </xf>
    <xf numFmtId="195" fontId="125" fillId="41" borderId="38" xfId="0" applyNumberFormat="1" applyFont="1" applyFill="1" applyBorder="1" applyAlignment="1" applyProtection="1">
      <alignment horizontal="justify" vertical="center" wrapText="1"/>
      <protection locked="0"/>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225" fontId="60" fillId="41" borderId="0" xfId="0" applyNumberFormat="1" applyFont="1" applyFill="1" applyBorder="1" applyAlignment="1" applyProtection="1">
      <alignment horizontal="center"/>
      <protection locked="0"/>
    </xf>
    <xf numFmtId="0" fontId="60" fillId="0" borderId="0" xfId="0" applyFont="1" applyBorder="1" applyAlignment="1" applyProtection="1">
      <alignment horizontal="center"/>
      <protection locked="0"/>
    </xf>
    <xf numFmtId="0" fontId="133" fillId="23" borderId="96" xfId="38" applyBorder="1" applyAlignment="1" applyProtection="1">
      <alignment horizontal="center"/>
      <protection locked="0"/>
    </xf>
    <xf numFmtId="0" fontId="133" fillId="23" borderId="97" xfId="38" applyBorder="1" applyAlignment="1" applyProtection="1">
      <alignment horizontal="center"/>
      <protection locked="0"/>
    </xf>
    <xf numFmtId="205" fontId="88" fillId="0" borderId="83" xfId="0" applyNumberFormat="1" applyFont="1" applyBorder="1" applyAlignment="1">
      <alignment horizontal="left"/>
    </xf>
    <xf numFmtId="205" fontId="88" fillId="0" borderId="0" xfId="0" applyNumberFormat="1" applyFont="1" applyBorder="1" applyAlignment="1">
      <alignment horizontal="left"/>
    </xf>
    <xf numFmtId="183" fontId="60" fillId="0" borderId="80" xfId="49" applyFont="1" applyBorder="1" applyAlignment="1">
      <alignment horizontal="center"/>
    </xf>
    <xf numFmtId="183" fontId="60" fillId="0" borderId="74" xfId="49" applyFont="1" applyBorder="1" applyAlignment="1">
      <alignment horizontal="center"/>
    </xf>
    <xf numFmtId="183" fontId="60" fillId="0" borderId="118" xfId="49" applyFont="1" applyBorder="1" applyAlignment="1">
      <alignment horizontal="center"/>
    </xf>
    <xf numFmtId="183" fontId="126" fillId="0" borderId="78" xfId="49" applyFont="1" applyBorder="1" applyAlignment="1">
      <alignment horizontal="center"/>
    </xf>
    <xf numFmtId="183" fontId="126" fillId="0" borderId="72" xfId="49" applyFont="1" applyBorder="1" applyAlignment="1">
      <alignment horizontal="center"/>
    </xf>
    <xf numFmtId="0" fontId="61" fillId="0" borderId="0" xfId="0" applyFont="1" applyBorder="1" applyAlignment="1">
      <alignment horizontal="center"/>
    </xf>
    <xf numFmtId="225" fontId="161" fillId="0" borderId="0" xfId="0" applyNumberFormat="1" applyFont="1" applyBorder="1" applyAlignment="1">
      <alignment horizontal="center"/>
    </xf>
    <xf numFmtId="0" fontId="60" fillId="0" borderId="0" xfId="0" applyFont="1" applyBorder="1" applyAlignment="1">
      <alignment horizontal="center"/>
    </xf>
    <xf numFmtId="195" fontId="60" fillId="0" borderId="10" xfId="49" applyNumberFormat="1" applyFont="1" applyFill="1" applyBorder="1" applyAlignment="1">
      <alignment vertical="center" wrapText="1"/>
    </xf>
    <xf numFmtId="195" fontId="60" fillId="0" borderId="15" xfId="49" applyNumberFormat="1" applyFont="1" applyFill="1" applyBorder="1" applyAlignment="1">
      <alignment vertical="center" wrapText="1"/>
    </xf>
    <xf numFmtId="195" fontId="60" fillId="0" borderId="11" xfId="49" applyNumberFormat="1" applyFont="1" applyFill="1" applyBorder="1" applyAlignment="1">
      <alignment vertical="center" wrapText="1"/>
    </xf>
    <xf numFmtId="183" fontId="64" fillId="0" borderId="10" xfId="49" applyFont="1" applyBorder="1" applyAlignment="1">
      <alignment horizontal="center"/>
    </xf>
    <xf numFmtId="183" fontId="64" fillId="0" borderId="15" xfId="49" applyFont="1" applyBorder="1" applyAlignment="1">
      <alignment horizontal="center"/>
    </xf>
    <xf numFmtId="0" fontId="132" fillId="2" borderId="16" xfId="15" applyNumberFormat="1" applyBorder="1" applyAlignment="1" applyProtection="1">
      <alignment vertical="center" wrapText="1"/>
      <protection locked="0"/>
    </xf>
    <xf numFmtId="0" fontId="132" fillId="2" borderId="14" xfId="15" applyNumberFormat="1" applyBorder="1" applyAlignment="1" applyProtection="1">
      <alignment vertical="center" wrapText="1"/>
      <protection locked="0"/>
    </xf>
    <xf numFmtId="0" fontId="132" fillId="2" borderId="73" xfId="15" applyNumberFormat="1" applyBorder="1" applyAlignment="1" applyProtection="1">
      <alignment vertical="center" wrapText="1"/>
      <protection locked="0"/>
    </xf>
    <xf numFmtId="195" fontId="60" fillId="42" borderId="16" xfId="0" applyNumberFormat="1" applyFont="1" applyFill="1" applyBorder="1" applyAlignment="1" applyProtection="1">
      <alignment vertical="center" wrapText="1"/>
      <protection locked="0"/>
    </xf>
    <xf numFmtId="195" fontId="60" fillId="42" borderId="14" xfId="0" applyNumberFormat="1" applyFont="1" applyFill="1" applyBorder="1" applyAlignment="1" applyProtection="1">
      <alignment vertical="center" wrapText="1"/>
      <protection locked="0"/>
    </xf>
    <xf numFmtId="195" fontId="60" fillId="42" borderId="73" xfId="0" applyNumberFormat="1" applyFont="1" applyFill="1" applyBorder="1" applyAlignment="1" applyProtection="1">
      <alignment vertical="center" wrapText="1"/>
      <protection locked="0"/>
    </xf>
    <xf numFmtId="0" fontId="133" fillId="23" borderId="80" xfId="38" applyBorder="1" applyAlignment="1" applyProtection="1">
      <alignment horizontal="right"/>
      <protection locked="0"/>
    </xf>
    <xf numFmtId="0" fontId="133" fillId="23" borderId="118" xfId="38" applyBorder="1" applyAlignment="1" applyProtection="1">
      <alignment horizontal="right"/>
      <protection locked="0"/>
    </xf>
    <xf numFmtId="0" fontId="133" fillId="23" borderId="78" xfId="38" applyBorder="1" applyAlignment="1" applyProtection="1">
      <alignment horizontal="center"/>
      <protection locked="0"/>
    </xf>
    <xf numFmtId="0" fontId="133" fillId="23" borderId="72" xfId="38" applyBorder="1" applyAlignment="1" applyProtection="1">
      <alignment horizontal="center"/>
      <protection locked="0"/>
    </xf>
    <xf numFmtId="0" fontId="133" fillId="23" borderId="79" xfId="38" applyBorder="1" applyAlignment="1" applyProtection="1">
      <alignment horizontal="center"/>
      <protection locked="0"/>
    </xf>
    <xf numFmtId="0" fontId="133" fillId="23" borderId="119" xfId="38" applyBorder="1" applyAlignment="1" applyProtection="1">
      <alignment horizontal="right"/>
      <protection locked="0"/>
    </xf>
    <xf numFmtId="0" fontId="133" fillId="23" borderId="17" xfId="38" applyBorder="1" applyAlignment="1" applyProtection="1">
      <alignment horizontal="right"/>
      <protection locked="0"/>
    </xf>
    <xf numFmtId="0" fontId="121" fillId="0" borderId="52" xfId="0" applyFont="1" applyBorder="1" applyAlignment="1" applyProtection="1">
      <alignment horizontal="center"/>
      <protection locked="0"/>
    </xf>
    <xf numFmtId="0" fontId="133" fillId="23" borderId="119" xfId="38" applyBorder="1" applyAlignment="1" applyProtection="1">
      <alignment horizontal="right" vertical="center"/>
      <protection locked="0"/>
    </xf>
    <xf numFmtId="0" fontId="133" fillId="23" borderId="17" xfId="38" applyBorder="1" applyAlignment="1" applyProtection="1">
      <alignment horizontal="right" vertical="center"/>
      <protection locked="0"/>
    </xf>
    <xf numFmtId="0" fontId="128" fillId="0" borderId="53" xfId="0" applyFont="1" applyBorder="1" applyAlignment="1" applyProtection="1">
      <alignment horizontal="left" wrapText="1"/>
      <protection locked="0"/>
    </xf>
    <xf numFmtId="0" fontId="128" fillId="0" borderId="67" xfId="0" applyFont="1" applyBorder="1" applyAlignment="1" applyProtection="1">
      <alignment horizontal="left" wrapText="1"/>
      <protection locked="0"/>
    </xf>
    <xf numFmtId="0" fontId="64" fillId="0" borderId="76" xfId="0" applyFont="1" applyBorder="1" applyAlignment="1" applyProtection="1" quotePrefix="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77" xfId="0" applyFont="1" applyBorder="1" applyAlignment="1" applyProtection="1">
      <alignment horizontal="center" vertical="center" wrapText="1"/>
      <protection locked="0"/>
    </xf>
    <xf numFmtId="0" fontId="60" fillId="40" borderId="95" xfId="0" applyFont="1" applyFill="1" applyBorder="1" applyAlignment="1" applyProtection="1">
      <alignment horizontal="center"/>
      <protection locked="0"/>
    </xf>
    <xf numFmtId="0" fontId="60" fillId="40" borderId="96" xfId="0" applyFont="1" applyFill="1" applyBorder="1" applyAlignment="1" applyProtection="1">
      <alignment horizontal="center"/>
      <protection locked="0"/>
    </xf>
    <xf numFmtId="0" fontId="60" fillId="40" borderId="97" xfId="0" applyFont="1" applyFill="1" applyBorder="1" applyAlignment="1" applyProtection="1">
      <alignment horizontal="center"/>
      <protection locked="0"/>
    </xf>
    <xf numFmtId="201" fontId="54" fillId="0" borderId="80" xfId="0" applyNumberFormat="1" applyFont="1" applyFill="1" applyBorder="1" applyAlignment="1" applyProtection="1">
      <alignment horizontal="left"/>
      <protection locked="0"/>
    </xf>
    <xf numFmtId="201" fontId="54" fillId="0" borderId="118" xfId="0" applyNumberFormat="1" applyFont="1" applyFill="1" applyBorder="1" applyAlignment="1" applyProtection="1">
      <alignment horizontal="left"/>
      <protection locked="0"/>
    </xf>
    <xf numFmtId="215" fontId="155" fillId="35" borderId="76" xfId="49" applyNumberFormat="1" applyFont="1" applyFill="1" applyBorder="1" applyAlignment="1" applyProtection="1">
      <alignment horizontal="center"/>
      <protection locked="0"/>
    </xf>
    <xf numFmtId="215" fontId="155" fillId="35" borderId="0" xfId="49" applyNumberFormat="1" applyFont="1" applyFill="1" applyBorder="1" applyAlignment="1" applyProtection="1">
      <alignment horizontal="center"/>
      <protection locked="0"/>
    </xf>
    <xf numFmtId="0" fontId="98" fillId="35" borderId="0" xfId="0" applyFont="1" applyFill="1" applyBorder="1" applyAlignment="1" applyProtection="1">
      <alignment horizontal="center"/>
      <protection locked="0"/>
    </xf>
    <xf numFmtId="0" fontId="61" fillId="41" borderId="0" xfId="0" applyFont="1" applyFill="1" applyBorder="1" applyAlignment="1" applyProtection="1">
      <alignment horizontal="center"/>
      <protection locked="0"/>
    </xf>
    <xf numFmtId="225" fontId="161" fillId="41" borderId="0" xfId="0" applyNumberFormat="1" applyFont="1" applyFill="1" applyBorder="1" applyAlignment="1" applyProtection="1">
      <alignment horizontal="center" vertical="top"/>
      <protection locked="0"/>
    </xf>
    <xf numFmtId="0" fontId="89" fillId="0" borderId="82" xfId="0" applyFont="1" applyBorder="1" applyAlignment="1" applyProtection="1">
      <alignment horizontal="center" vertical="center" wrapText="1"/>
      <protection locked="0"/>
    </xf>
    <xf numFmtId="0" fontId="89" fillId="0" borderId="84" xfId="0" applyFont="1" applyBorder="1" applyAlignment="1" applyProtection="1">
      <alignment horizontal="center" vertical="center" wrapText="1"/>
      <protection locked="0"/>
    </xf>
    <xf numFmtId="0" fontId="89" fillId="0" borderId="65" xfId="0" applyFont="1" applyBorder="1" applyAlignment="1" applyProtection="1">
      <alignment horizontal="center" vertical="center" wrapText="1"/>
      <protection locked="0"/>
    </xf>
    <xf numFmtId="0" fontId="100" fillId="0" borderId="76" xfId="0" applyFont="1" applyBorder="1" applyAlignment="1" applyProtection="1" quotePrefix="1">
      <alignment horizontal="center" vertical="center" wrapText="1"/>
      <protection locked="0"/>
    </xf>
    <xf numFmtId="0" fontId="101" fillId="0" borderId="0" xfId="0" applyFont="1" applyBorder="1" applyAlignment="1" applyProtection="1">
      <alignment horizontal="center" vertical="center" wrapText="1"/>
      <protection locked="0"/>
    </xf>
    <xf numFmtId="0" fontId="89" fillId="0" borderId="17" xfId="0" applyFont="1" applyBorder="1" applyAlignment="1" applyProtection="1">
      <alignment horizontal="center" vertical="center" wrapText="1"/>
      <protection locked="0"/>
    </xf>
    <xf numFmtId="0" fontId="60" fillId="0" borderId="64"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xf>
    <xf numFmtId="0" fontId="60" fillId="0" borderId="14" xfId="0" applyFont="1" applyBorder="1" applyAlignment="1">
      <alignment/>
    </xf>
    <xf numFmtId="0" fontId="61" fillId="0" borderId="0" xfId="0" applyFont="1" applyAlignment="1">
      <alignment horizontal="center" vertical="center"/>
    </xf>
    <xf numFmtId="225" fontId="161" fillId="0" borderId="0" xfId="0" applyNumberFormat="1" applyFont="1" applyAlignment="1">
      <alignment horizontal="center"/>
    </xf>
    <xf numFmtId="0" fontId="61" fillId="0" borderId="0" xfId="0" applyFont="1" applyAlignment="1">
      <alignment horizontal="center"/>
    </xf>
    <xf numFmtId="195" fontId="132" fillId="2" borderId="0" xfId="15" applyNumberFormat="1" applyBorder="1" applyAlignment="1">
      <alignment vertical="center" wrapText="1"/>
    </xf>
    <xf numFmtId="0" fontId="133" fillId="23" borderId="14" xfId="38" applyBorder="1" applyAlignment="1">
      <alignment horizontal="center"/>
    </xf>
    <xf numFmtId="0" fontId="136" fillId="23" borderId="14" xfId="38" applyFont="1" applyBorder="1" applyAlignment="1">
      <alignment/>
    </xf>
    <xf numFmtId="0" fontId="60" fillId="0" borderId="0" xfId="0" applyFont="1" applyBorder="1" applyAlignment="1">
      <alignment horizontal="center" vertical="center" wrapText="1"/>
    </xf>
    <xf numFmtId="0" fontId="54" fillId="0" borderId="0" xfId="0" applyFont="1" applyBorder="1" applyAlignment="1">
      <alignment horizontal="center" vertical="center" wrapText="1"/>
    </xf>
    <xf numFmtId="225" fontId="161" fillId="0" borderId="0" xfId="0" applyNumberFormat="1" applyFont="1" applyBorder="1" applyAlignment="1">
      <alignment horizontal="center" vertical="center"/>
    </xf>
    <xf numFmtId="0" fontId="95" fillId="0" borderId="52" xfId="0" applyFont="1" applyBorder="1" applyAlignment="1">
      <alignment vertical="top" wrapText="1"/>
    </xf>
    <xf numFmtId="0" fontId="133" fillId="23" borderId="16" xfId="38" applyBorder="1" applyAlignment="1">
      <alignment horizontal="center" vertical="top" wrapText="1"/>
    </xf>
    <xf numFmtId="0" fontId="133" fillId="23" borderId="17" xfId="38" applyBorder="1" applyAlignment="1">
      <alignment horizontal="center" vertical="top" wrapText="1"/>
    </xf>
    <xf numFmtId="225" fontId="61" fillId="0" borderId="0" xfId="0" applyNumberFormat="1" applyFont="1" applyAlignment="1">
      <alignment horizontal="center"/>
    </xf>
    <xf numFmtId="0" fontId="95" fillId="0" borderId="16" xfId="0" applyFont="1" applyBorder="1" applyAlignment="1">
      <alignment horizontal="center" vertical="top" wrapText="1"/>
    </xf>
    <xf numFmtId="0" fontId="95" fillId="0" borderId="17" xfId="0" applyFont="1" applyBorder="1" applyAlignment="1">
      <alignment horizontal="center" vertical="top" wrapText="1"/>
    </xf>
    <xf numFmtId="0" fontId="133" fillId="23" borderId="52" xfId="38" applyBorder="1" applyAlignment="1">
      <alignment vertical="top" wrapText="1"/>
    </xf>
    <xf numFmtId="192" fontId="133" fillId="23" borderId="16" xfId="38" applyNumberFormat="1" applyBorder="1" applyAlignment="1">
      <alignment vertical="top" wrapText="1"/>
    </xf>
    <xf numFmtId="192" fontId="133" fillId="23" borderId="14" xfId="38" applyNumberFormat="1" applyBorder="1" applyAlignment="1">
      <alignment vertical="top" wrapText="1"/>
    </xf>
    <xf numFmtId="192" fontId="133" fillId="23" borderId="17" xfId="38" applyNumberFormat="1" applyBorder="1" applyAlignment="1">
      <alignment vertical="top" wrapText="1"/>
    </xf>
    <xf numFmtId="0" fontId="95" fillId="0" borderId="81" xfId="0" applyFont="1" applyBorder="1" applyAlignment="1">
      <alignment horizontal="center" vertical="top" wrapText="1"/>
    </xf>
    <xf numFmtId="0" fontId="95" fillId="0" borderId="64" xfId="0" applyFont="1" applyBorder="1" applyAlignment="1">
      <alignment horizontal="center" vertical="top" wrapText="1"/>
    </xf>
    <xf numFmtId="0" fontId="95" fillId="0" borderId="82" xfId="0" applyFont="1" applyBorder="1" applyAlignment="1">
      <alignment horizontal="center" vertical="top" wrapText="1"/>
    </xf>
    <xf numFmtId="0" fontId="129" fillId="0" borderId="83" xfId="0" applyFont="1" applyBorder="1" applyAlignment="1">
      <alignment horizontal="center" vertical="center" wrapText="1"/>
    </xf>
    <xf numFmtId="0" fontId="129" fillId="0" borderId="0" xfId="0" applyFont="1" applyBorder="1" applyAlignment="1">
      <alignment horizontal="center" vertical="center" wrapText="1"/>
    </xf>
    <xf numFmtId="0" fontId="129" fillId="0" borderId="84" xfId="0" applyFont="1" applyBorder="1" applyAlignment="1">
      <alignment horizontal="center" vertical="center" wrapText="1"/>
    </xf>
    <xf numFmtId="208" fontId="132" fillId="2" borderId="0" xfId="15" applyNumberFormat="1" applyBorder="1" applyAlignment="1">
      <alignment horizontal="center"/>
    </xf>
    <xf numFmtId="0" fontId="133" fillId="23" borderId="10" xfId="38" applyBorder="1" applyAlignment="1">
      <alignment horizontal="left"/>
    </xf>
    <xf numFmtId="0" fontId="133" fillId="23" borderId="15" xfId="38" applyBorder="1" applyAlignment="1">
      <alignment horizontal="left"/>
    </xf>
    <xf numFmtId="0" fontId="34" fillId="0" borderId="81" xfId="0" applyFont="1" applyBorder="1" applyAlignment="1">
      <alignment horizontal="center" vertical="top" wrapText="1"/>
    </xf>
    <xf numFmtId="0" fontId="34" fillId="0" borderId="64" xfId="0" applyFont="1" applyBorder="1" applyAlignment="1">
      <alignment horizontal="center" vertical="top" wrapText="1"/>
    </xf>
    <xf numFmtId="0" fontId="34" fillId="0" borderId="82" xfId="0" applyFont="1" applyBorder="1" applyAlignment="1">
      <alignment horizontal="center" vertical="top" wrapText="1"/>
    </xf>
    <xf numFmtId="0" fontId="34" fillId="0" borderId="83" xfId="0" applyFont="1" applyBorder="1" applyAlignment="1">
      <alignment horizontal="center" vertical="top" wrapText="1"/>
    </xf>
    <xf numFmtId="0" fontId="34" fillId="0" borderId="0" xfId="0" applyFont="1" applyBorder="1" applyAlignment="1">
      <alignment horizontal="center" vertical="top" wrapText="1"/>
    </xf>
    <xf numFmtId="0" fontId="34" fillId="0" borderId="84" xfId="0" applyFont="1" applyBorder="1" applyAlignment="1">
      <alignment horizontal="center" vertical="top" wrapText="1"/>
    </xf>
    <xf numFmtId="0" fontId="34" fillId="0" borderId="66" xfId="0" applyFont="1" applyBorder="1" applyAlignment="1">
      <alignment horizontal="center" vertical="top" wrapText="1"/>
    </xf>
    <xf numFmtId="0" fontId="34" fillId="0" borderId="13" xfId="0" applyFont="1" applyBorder="1" applyAlignment="1">
      <alignment horizontal="center" vertical="top" wrapText="1"/>
    </xf>
    <xf numFmtId="0" fontId="34" fillId="0" borderId="65" xfId="0" applyFont="1" applyBorder="1" applyAlignment="1">
      <alignment horizontal="center" vertical="top" wrapText="1"/>
    </xf>
    <xf numFmtId="0" fontId="162" fillId="2" borderId="0" xfId="15" applyFont="1" applyBorder="1" applyAlignment="1">
      <alignment horizontal="center" vertical="center"/>
    </xf>
    <xf numFmtId="225" fontId="1" fillId="0" borderId="0" xfId="0" applyNumberFormat="1" applyFont="1" applyBorder="1" applyAlignment="1">
      <alignment horizontal="center" vertical="center"/>
    </xf>
    <xf numFmtId="0" fontId="1" fillId="0" borderId="0" xfId="0" applyFont="1" applyBorder="1" applyAlignment="1">
      <alignment horizontal="center"/>
    </xf>
    <xf numFmtId="195" fontId="132" fillId="2" borderId="16" xfId="15" applyNumberFormat="1" applyBorder="1" applyAlignment="1">
      <alignment vertical="center" wrapText="1"/>
    </xf>
    <xf numFmtId="195" fontId="132" fillId="2" borderId="14" xfId="15" applyNumberFormat="1" applyBorder="1" applyAlignment="1">
      <alignment vertical="center" wrapText="1"/>
    </xf>
    <xf numFmtId="195" fontId="132" fillId="2" borderId="17" xfId="15" applyNumberFormat="1" applyBorder="1" applyAlignment="1">
      <alignment vertical="center" wrapText="1"/>
    </xf>
    <xf numFmtId="0" fontId="101" fillId="0" borderId="14" xfId="0" applyFont="1" applyBorder="1" applyAlignment="1">
      <alignment/>
    </xf>
    <xf numFmtId="0" fontId="133" fillId="23" borderId="14" xfId="38" applyBorder="1" applyAlignment="1">
      <alignment/>
    </xf>
    <xf numFmtId="0" fontId="100" fillId="0" borderId="14" xfId="0" applyFont="1" applyBorder="1" applyAlignment="1">
      <alignment/>
    </xf>
    <xf numFmtId="0" fontId="61" fillId="0" borderId="0" xfId="0" applyFont="1" applyAlignment="1">
      <alignment horizontal="center" vertical="center" wrapText="1"/>
    </xf>
    <xf numFmtId="0" fontId="100" fillId="0" borderId="0" xfId="0" applyFont="1" applyAlignment="1">
      <alignment horizontal="center"/>
    </xf>
    <xf numFmtId="195" fontId="132" fillId="2" borderId="0" xfId="15" applyNumberFormat="1" applyBorder="1" applyAlignment="1">
      <alignment horizontal="center" vertical="center" wrapText="1"/>
    </xf>
    <xf numFmtId="0" fontId="14" fillId="0" borderId="120" xfId="60" applyFont="1" applyBorder="1" applyAlignment="1">
      <alignment horizontal="left" vertical="top"/>
      <protection/>
    </xf>
    <xf numFmtId="0" fontId="14" fillId="0" borderId="121" xfId="60" applyFont="1" applyBorder="1" applyAlignment="1">
      <alignment horizontal="left" vertical="top"/>
      <protection/>
    </xf>
    <xf numFmtId="0" fontId="14" fillId="0" borderId="122" xfId="60" applyFont="1" applyBorder="1" applyAlignment="1">
      <alignment horizontal="left" vertical="top"/>
      <protection/>
    </xf>
    <xf numFmtId="0" fontId="11" fillId="0" borderId="123" xfId="60" applyFont="1" applyBorder="1" applyAlignment="1">
      <alignment horizontal="left" vertical="top"/>
      <protection/>
    </xf>
    <xf numFmtId="0" fontId="11" fillId="0" borderId="124" xfId="60" applyFont="1" applyBorder="1" applyAlignment="1">
      <alignment horizontal="left" vertical="top"/>
      <protection/>
    </xf>
    <xf numFmtId="0" fontId="11" fillId="0" borderId="125" xfId="60" applyFont="1" applyBorder="1" applyAlignment="1">
      <alignment horizontal="left" vertical="top"/>
      <protection/>
    </xf>
    <xf numFmtId="0" fontId="10" fillId="50" borderId="120" xfId="60" applyFont="1" applyFill="1" applyBorder="1" applyAlignment="1">
      <alignment horizontal="center" vertical="top"/>
      <protection/>
    </xf>
    <xf numFmtId="0" fontId="10" fillId="50" borderId="121" xfId="60" applyFont="1" applyFill="1" applyBorder="1" applyAlignment="1">
      <alignment horizontal="center" vertical="top"/>
      <protection/>
    </xf>
    <xf numFmtId="0" fontId="10" fillId="50" borderId="122" xfId="60" applyFont="1" applyFill="1" applyBorder="1" applyAlignment="1">
      <alignment horizontal="center" vertical="top"/>
      <protection/>
    </xf>
    <xf numFmtId="0" fontId="10" fillId="50" borderId="126" xfId="60" applyFont="1" applyFill="1" applyBorder="1" applyAlignment="1">
      <alignment horizontal="center" vertical="top"/>
      <protection/>
    </xf>
    <xf numFmtId="0" fontId="10" fillId="50" borderId="0" xfId="60" applyFont="1" applyFill="1" applyBorder="1" applyAlignment="1">
      <alignment horizontal="center" vertical="top"/>
      <protection/>
    </xf>
    <xf numFmtId="0" fontId="10" fillId="50" borderId="127" xfId="60" applyFont="1" applyFill="1" applyBorder="1" applyAlignment="1">
      <alignment horizontal="center" vertical="top"/>
      <protection/>
    </xf>
    <xf numFmtId="0" fontId="10" fillId="50" borderId="123" xfId="60" applyFont="1" applyFill="1" applyBorder="1" applyAlignment="1">
      <alignment horizontal="center" vertical="top"/>
      <protection/>
    </xf>
    <xf numFmtId="0" fontId="10" fillId="50" borderId="124" xfId="60" applyFont="1" applyFill="1" applyBorder="1" applyAlignment="1">
      <alignment horizontal="center" vertical="top"/>
      <protection/>
    </xf>
    <xf numFmtId="0" fontId="10" fillId="50" borderId="125" xfId="60" applyFont="1" applyFill="1" applyBorder="1" applyAlignment="1">
      <alignment horizontal="center" vertical="top"/>
      <protection/>
    </xf>
    <xf numFmtId="0" fontId="11" fillId="0" borderId="103" xfId="60" applyFont="1" applyBorder="1" applyAlignment="1">
      <alignment horizontal="right" vertical="top"/>
      <protection/>
    </xf>
    <xf numFmtId="0" fontId="11" fillId="0" borderId="128" xfId="60" applyFont="1" applyBorder="1" applyAlignment="1">
      <alignment horizontal="right" vertical="top"/>
      <protection/>
    </xf>
    <xf numFmtId="0" fontId="11" fillId="0" borderId="129" xfId="60" applyFont="1" applyBorder="1" applyAlignment="1">
      <alignment horizontal="right" vertical="top"/>
      <protection/>
    </xf>
    <xf numFmtId="3" fontId="40" fillId="0" borderId="130" xfId="0" applyNumberFormat="1" applyFont="1" applyBorder="1" applyAlignment="1">
      <alignment horizontal="center" vertical="center"/>
    </xf>
    <xf numFmtId="3" fontId="40" fillId="0" borderId="131" xfId="0" applyNumberFormat="1" applyFont="1" applyBorder="1" applyAlignment="1">
      <alignment horizontal="center" vertical="center"/>
    </xf>
    <xf numFmtId="183" fontId="0" fillId="38" borderId="130" xfId="0" applyNumberFormat="1" applyFill="1" applyBorder="1" applyAlignment="1">
      <alignment horizontal="center" vertical="center"/>
    </xf>
    <xf numFmtId="183" fontId="0" fillId="38" borderId="132" xfId="0" applyNumberFormat="1" applyFill="1" applyBorder="1" applyAlignment="1">
      <alignment horizontal="center" vertical="center"/>
    </xf>
    <xf numFmtId="183" fontId="0" fillId="38" borderId="133" xfId="0" applyNumberForma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Libro1" xfId="47"/>
    <cellStyle name="Incorrecto" xfId="48"/>
    <cellStyle name="Comma" xfId="49"/>
    <cellStyle name="Comma [0]" xfId="50"/>
    <cellStyle name="Millares [0]_AIU" xfId="51"/>
    <cellStyle name="Millares 2" xfId="52"/>
    <cellStyle name="Millares 3" xfId="53"/>
    <cellStyle name="Currency" xfId="54"/>
    <cellStyle name="Currency [0]" xfId="55"/>
    <cellStyle name="Moneda [0]_AIU" xfId="56"/>
    <cellStyle name="Neutral" xfId="57"/>
    <cellStyle name="Normal 2" xfId="58"/>
    <cellStyle name="Normal 3" xfId="59"/>
    <cellStyle name="Normal_Libro1" xfId="60"/>
    <cellStyle name="Normal_NumerosyLetrasenExcel"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FFF"/>
      <rgbColor rgb="00CCFFCC"/>
      <rgbColor rgb="00FFFF99"/>
      <rgbColor rgb="0099CCFF"/>
      <rgbColor rgb="00FF99CC"/>
      <rgbColor rgb="00CC99FF"/>
      <rgbColor rgb="00FFCC99"/>
      <rgbColor rgb="003366FF"/>
      <rgbColor rgb="0033CCCC"/>
      <rgbColor rgb="0099CC00"/>
      <rgbColor rgb="00FFF6D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75"/>
          <c:y val="-0.0075"/>
          <c:w val="0.8325"/>
          <c:h val="0.853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'proyecc desembol'!$C$9:$C$22</c:f>
              <c:numCache/>
            </c:numRef>
          </c:xVal>
          <c:yVal>
            <c:numRef>
              <c:f>'proyecc desembol'!$D$9:$D$22</c:f>
              <c:numCache/>
            </c:numRef>
          </c:yVal>
          <c:smooth val="1"/>
        </c:ser>
        <c:axId val="17900990"/>
        <c:axId val="26891183"/>
      </c:scatterChart>
      <c:valAx>
        <c:axId val="17900990"/>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891183"/>
        <c:crosses val="autoZero"/>
        <c:crossBetween val="midCat"/>
        <c:dispUnits/>
      </c:valAx>
      <c:valAx>
        <c:axId val="26891183"/>
        <c:scaling>
          <c:orientation val="minMax"/>
        </c:scaling>
        <c:axPos val="l"/>
        <c:title>
          <c:tx>
            <c:rich>
              <a:bodyPr vert="horz" rot="-5400000" anchor="ctr"/>
              <a:lstStyle/>
              <a:p>
                <a:pPr algn="ctr">
                  <a:defRPr/>
                </a:pPr>
                <a:r>
                  <a:rPr lang="en-US" cap="none" sz="1800" b="0" i="0" u="none" baseline="0">
                    <a:solidFill>
                      <a:srgbClr val="000000"/>
                    </a:solidFill>
                  </a:rPr>
                  <a:t>porcentaje</a:t>
                </a:r>
              </a:p>
            </c:rich>
          </c:tx>
          <c:layout>
            <c:manualLayout>
              <c:xMode val="factor"/>
              <c:yMode val="factor"/>
              <c:x val="-0.024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00990"/>
        <c:crosses val="autoZero"/>
        <c:crossBetween val="midCat"/>
        <c:dispUnits/>
      </c:valAx>
      <c:spPr>
        <a:solidFill>
          <a:srgbClr val="FFFFFF"/>
        </a:solidFill>
        <a:ln w="3175">
          <a:noFill/>
        </a:ln>
      </c:spPr>
    </c:plotArea>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075"/>
          <c:w val="0.838"/>
          <c:h val="0.8545"/>
        </c:manualLayout>
      </c:layout>
      <c:scatterChart>
        <c:scatterStyle val="smoothMarker"/>
        <c:varyColors val="0"/>
        <c:ser>
          <c:idx val="0"/>
          <c:order val="0"/>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FF8080"/>
                </a:solidFill>
              </a:ln>
            </c:spPr>
          </c:marker>
          <c:xVal>
            <c:numRef>
              <c:f>'proyecc desembol'!$B$9:$B$23</c:f>
              <c:numCache/>
            </c:numRef>
          </c:xVal>
          <c:yVal>
            <c:numRef>
              <c:f>'proyecc desembol'!$E$9:$E$23</c:f>
              <c:numCache/>
            </c:numRef>
          </c:yVal>
          <c:smooth val="1"/>
        </c:ser>
        <c:axId val="40694056"/>
        <c:axId val="30702185"/>
      </c:scatterChart>
      <c:valAx>
        <c:axId val="40694056"/>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0702185"/>
        <c:crosses val="autoZero"/>
        <c:crossBetween val="midCat"/>
        <c:dispUnits/>
      </c:valAx>
      <c:valAx>
        <c:axId val="30702185"/>
        <c:scaling>
          <c:orientation val="minMax"/>
        </c:scaling>
        <c:axPos val="l"/>
        <c:title>
          <c:tx>
            <c:rich>
              <a:bodyPr vert="horz" rot="-5400000" anchor="ctr"/>
              <a:lstStyle/>
              <a:p>
                <a:pPr algn="ctr">
                  <a:defRPr/>
                </a:pPr>
                <a:r>
                  <a:rPr lang="en-US" cap="none" sz="1600" b="0" i="0" u="none" baseline="0">
                    <a:solidFill>
                      <a:srgbClr val="000000"/>
                    </a:solidFill>
                  </a:rPr>
                  <a:t>valor de la obra en millones</a:t>
                </a:r>
              </a:p>
            </c:rich>
          </c:tx>
          <c:layout>
            <c:manualLayout>
              <c:xMode val="factor"/>
              <c:yMode val="factor"/>
              <c:x val="-0.00725"/>
              <c:y val="-0.01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94056"/>
        <c:crosses val="autoZero"/>
        <c:crossBetween val="midCat"/>
        <c:dispUnits>
          <c:builtInUnit val="millions"/>
        </c:dispUnits>
      </c:valAx>
      <c:spPr>
        <a:noFill/>
        <a:ln>
          <a:noFill/>
        </a:ln>
      </c:spPr>
    </c:plotArea>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7</xdr:row>
      <xdr:rowOff>47625</xdr:rowOff>
    </xdr:from>
    <xdr:to>
      <xdr:col>9</xdr:col>
      <xdr:colOff>314325</xdr:colOff>
      <xdr:row>24</xdr:row>
      <xdr:rowOff>0</xdr:rowOff>
    </xdr:to>
    <xdr:graphicFrame>
      <xdr:nvGraphicFramePr>
        <xdr:cNvPr id="1" name="4 Gráfico"/>
        <xdr:cNvGraphicFramePr/>
      </xdr:nvGraphicFramePr>
      <xdr:xfrm>
        <a:off x="2924175" y="1247775"/>
        <a:ext cx="3143250" cy="3048000"/>
      </xdr:xfrm>
      <a:graphic>
        <a:graphicData uri="http://schemas.openxmlformats.org/drawingml/2006/chart">
          <c:chart xmlns:c="http://schemas.openxmlformats.org/drawingml/2006/chart" r:id="rId1"/>
        </a:graphicData>
      </a:graphic>
    </xdr:graphicFrame>
    <xdr:clientData/>
  </xdr:twoCellAnchor>
  <xdr:twoCellAnchor>
    <xdr:from>
      <xdr:col>9</xdr:col>
      <xdr:colOff>533400</xdr:colOff>
      <xdr:row>7</xdr:row>
      <xdr:rowOff>38100</xdr:rowOff>
    </xdr:from>
    <xdr:to>
      <xdr:col>13</xdr:col>
      <xdr:colOff>666750</xdr:colOff>
      <xdr:row>24</xdr:row>
      <xdr:rowOff>19050</xdr:rowOff>
    </xdr:to>
    <xdr:graphicFrame>
      <xdr:nvGraphicFramePr>
        <xdr:cNvPr id="2" name="5 Gráfico"/>
        <xdr:cNvGraphicFramePr/>
      </xdr:nvGraphicFramePr>
      <xdr:xfrm>
        <a:off x="6286500" y="1238250"/>
        <a:ext cx="2876550" cy="3076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J\NL%20Costeos\Costeo%20Consultoria%20Banc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piratob\Datos%20de%20programa\Microsoft\Complementos\PesosM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2">
        <row r="10">
          <cell r="D10">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2">
        <row r="8">
          <cell r="D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 val="PesosMN"/>
    </sheetNames>
    <definedNames>
      <definedName name="pesosm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ane.gov.co/inf_est/ipc.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pnt.org/resolucion.php?id=1&amp;PHPSESSID=67138a5f51d74184bbd0b3b7d69a2210"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4"/>
  <dimension ref="C4:J26"/>
  <sheetViews>
    <sheetView zoomScalePageLayoutView="0" workbookViewId="0" topLeftCell="A1">
      <selection activeCell="C7" sqref="C7"/>
    </sheetView>
  </sheetViews>
  <sheetFormatPr defaultColWidth="13.33203125" defaultRowHeight="12.75"/>
  <cols>
    <col min="1" max="2" width="13.33203125" style="534" customWidth="1"/>
    <col min="3" max="3" width="94.66015625" style="534" bestFit="1" customWidth="1"/>
    <col min="4" max="4" width="27.83203125" style="534" hidden="1" customWidth="1"/>
    <col min="5" max="5" width="0" style="534" hidden="1" customWidth="1"/>
    <col min="6" max="6" width="14.83203125" style="534" hidden="1" customWidth="1"/>
    <col min="7" max="7" width="0" style="534" hidden="1" customWidth="1"/>
    <col min="8" max="9" width="13.33203125" style="534" customWidth="1"/>
    <col min="10" max="10" width="0" style="534" hidden="1" customWidth="1"/>
    <col min="11" max="16384" width="13.33203125" style="534" customWidth="1"/>
  </cols>
  <sheetData>
    <row r="4" ht="13.5" thickBot="1">
      <c r="C4" s="536" t="s">
        <v>734</v>
      </c>
    </row>
    <row r="5" ht="50.25" customHeight="1" thickBot="1">
      <c r="C5" s="537">
        <f>IF('PERSONAL Y OTROS'!D8&gt;1,DestinoConsultoria,TotalContratoConIva)</f>
        <v>180958550</v>
      </c>
    </row>
    <row r="6" ht="13.5" thickBot="1"/>
    <row r="7" spans="3:10" ht="56.25" customHeight="1" thickBot="1">
      <c r="C7" s="538" t="e">
        <f>TRIM(Numeros_Letras(C5,E7,F71,G7,H7,I7,J7))</f>
        <v>#NAME?</v>
      </c>
      <c r="E7" s="534" t="s">
        <v>735</v>
      </c>
      <c r="F7" s="534" t="b">
        <v>1</v>
      </c>
      <c r="G7" s="534" t="s">
        <v>736</v>
      </c>
      <c r="H7" s="534" t="s">
        <v>640</v>
      </c>
      <c r="I7" s="534" t="s">
        <v>640</v>
      </c>
      <c r="J7" s="534">
        <v>2</v>
      </c>
    </row>
    <row r="8" ht="12.75">
      <c r="D8" s="534">
        <v>3</v>
      </c>
    </row>
    <row r="9" ht="12.75">
      <c r="D9" s="539">
        <f>C5/461500</f>
        <v>392.109534127844</v>
      </c>
    </row>
    <row r="10" ht="12.75">
      <c r="C10" s="534" t="s">
        <v>737</v>
      </c>
    </row>
    <row r="11" spans="3:5" ht="12.75">
      <c r="C11" s="534" t="s">
        <v>738</v>
      </c>
      <c r="D11" s="540"/>
      <c r="E11" s="540"/>
    </row>
    <row r="12" spans="3:4" ht="12.75">
      <c r="C12" s="534" t="s">
        <v>739</v>
      </c>
      <c r="D12" s="540"/>
    </row>
    <row r="13" spans="3:5" ht="12.75">
      <c r="C13" s="534" t="s">
        <v>740</v>
      </c>
      <c r="D13" s="540"/>
      <c r="E13" s="541"/>
    </row>
    <row r="14" spans="3:4" ht="12.75">
      <c r="C14" s="534" t="s">
        <v>741</v>
      </c>
      <c r="D14" s="540"/>
    </row>
    <row r="15" spans="3:4" ht="12.75">
      <c r="C15" s="534" t="s">
        <v>742</v>
      </c>
      <c r="D15" s="540"/>
    </row>
    <row r="16" spans="3:4" ht="12.75">
      <c r="C16" s="534" t="s">
        <v>743</v>
      </c>
      <c r="D16" s="540"/>
    </row>
    <row r="17" spans="3:6" ht="12.75">
      <c r="C17" s="534" t="s">
        <v>744</v>
      </c>
      <c r="F17" s="542"/>
    </row>
    <row r="18" spans="3:4" ht="12.75">
      <c r="C18" s="534" t="s">
        <v>745</v>
      </c>
      <c r="D18" s="543"/>
    </row>
    <row r="19" ht="12.75">
      <c r="C19" s="534" t="s">
        <v>746</v>
      </c>
    </row>
    <row r="20" ht="12.75">
      <c r="C20" s="534" t="s">
        <v>747</v>
      </c>
    </row>
    <row r="21" ht="12.75">
      <c r="D21" s="544"/>
    </row>
    <row r="24" ht="12.75">
      <c r="C24" s="533" t="str">
        <f>'INFORMACION DEL FP'!C30</f>
        <v>DLOPEZ</v>
      </c>
    </row>
    <row r="25" ht="12.75">
      <c r="C25" s="534" t="s">
        <v>774</v>
      </c>
    </row>
    <row r="26" ht="12.75">
      <c r="C26" s="535">
        <f ca="1">TODAY()</f>
        <v>42354</v>
      </c>
    </row>
  </sheetData>
  <sheetProtection/>
  <printOptions/>
  <pageMargins left="0.75" right="0.75" top="1" bottom="1" header="0" footer="0"/>
  <pageSetup horizontalDpi="600" verticalDpi="600" orientation="portrait" paperSize="119" r:id="rId1"/>
  <headerFooter alignWithMargins="0">
    <oddHeader>&amp;CAnálisis de Costos - Área de Estudios Previos</oddHeader>
    <oddFooter>&amp;L16/02/2010&amp;R0</oddFooter>
  </headerFooter>
</worksheet>
</file>

<file path=xl/worksheets/sheet10.xml><?xml version="1.0" encoding="utf-8"?>
<worksheet xmlns="http://schemas.openxmlformats.org/spreadsheetml/2006/main" xmlns:r="http://schemas.openxmlformats.org/officeDocument/2006/relationships">
  <sheetPr codeName="Hoja11">
    <tabColor theme="2" tint="-0.4999699890613556"/>
    <pageSetUpPr fitToPage="1"/>
  </sheetPr>
  <dimension ref="A1:O96"/>
  <sheetViews>
    <sheetView showGridLines="0" zoomScale="70" zoomScaleNormal="70" zoomScalePageLayoutView="0" workbookViewId="0" topLeftCell="A1">
      <selection activeCell="J50" sqref="J50"/>
    </sheetView>
  </sheetViews>
  <sheetFormatPr defaultColWidth="12" defaultRowHeight="12.75"/>
  <cols>
    <col min="1" max="1" width="12.83203125" style="443" customWidth="1"/>
    <col min="2" max="2" width="45.66015625" style="443" customWidth="1"/>
    <col min="3" max="3" width="8.5" style="443" bestFit="1" customWidth="1"/>
    <col min="4" max="4" width="14.5" style="443" bestFit="1" customWidth="1"/>
    <col min="5" max="5" width="22.33203125" style="443" customWidth="1"/>
    <col min="6" max="6" width="12.66015625" style="443" customWidth="1"/>
    <col min="7" max="7" width="19.33203125" style="443" bestFit="1" customWidth="1"/>
    <col min="8" max="8" width="12.16015625" style="443" bestFit="1" customWidth="1"/>
    <col min="9" max="9" width="14" style="444" customWidth="1"/>
    <col min="10" max="10" width="13.66015625" style="444" customWidth="1"/>
    <col min="11" max="11" width="16.33203125" style="444" bestFit="1" customWidth="1"/>
    <col min="12" max="12" width="17.33203125" style="444" bestFit="1" customWidth="1"/>
    <col min="13" max="13" width="16.33203125" style="443" bestFit="1" customWidth="1"/>
    <col min="14" max="16384" width="12" style="443" customWidth="1"/>
  </cols>
  <sheetData>
    <row r="1" spans="1:15" ht="27.75" customHeight="1">
      <c r="A1" s="1045" t="s">
        <v>176</v>
      </c>
      <c r="B1" s="1045"/>
      <c r="C1" s="1045"/>
      <c r="D1" s="1045"/>
      <c r="E1" s="1045"/>
      <c r="F1" s="442"/>
      <c r="G1" s="442"/>
      <c r="H1" s="442"/>
      <c r="I1" s="442"/>
      <c r="J1" s="442"/>
      <c r="K1" s="442"/>
      <c r="L1" s="442"/>
      <c r="M1" s="442"/>
      <c r="N1" s="442"/>
      <c r="O1" s="442"/>
    </row>
    <row r="2" spans="1:15" ht="15.75">
      <c r="A2" s="949" t="str">
        <f>CONCATENATE("SOLICITUD Nº ",'INFORMACION DEL FP'!A2,"-",'IMPUESTOS Y VR TOTAL'!H1)</f>
        <v>SOLICITUD Nº -</v>
      </c>
      <c r="B2" s="949"/>
      <c r="C2" s="949"/>
      <c r="D2" s="949"/>
      <c r="E2" s="949"/>
      <c r="F2" s="442"/>
      <c r="G2" s="442"/>
      <c r="H2" s="442"/>
      <c r="I2" s="442"/>
      <c r="J2" s="442"/>
      <c r="K2" s="442"/>
      <c r="L2" s="442"/>
      <c r="M2" s="442"/>
      <c r="N2" s="442"/>
      <c r="O2" s="442"/>
    </row>
    <row r="3" spans="1:15" ht="12">
      <c r="A3" s="1046"/>
      <c r="B3" s="1046"/>
      <c r="C3" s="1046"/>
      <c r="D3" s="1046"/>
      <c r="E3" s="1046"/>
      <c r="F3" s="442"/>
      <c r="G3" s="442"/>
      <c r="H3" s="442"/>
      <c r="I3" s="442"/>
      <c r="J3" s="442"/>
      <c r="K3" s="442"/>
      <c r="L3" s="442"/>
      <c r="M3" s="442"/>
      <c r="N3" s="442"/>
      <c r="O3" s="442"/>
    </row>
    <row r="4" spans="1:5" ht="48.75" customHeight="1">
      <c r="A4" s="561" t="s">
        <v>32</v>
      </c>
      <c r="B4" s="1047" t="str">
        <f>+'PERSONAL Y OTROS'!B6</f>
        <v>INTERVENTORÍA TÉCNICA, ADMINISTRATIVA, FINANCIERA, CONTABLE, AMBIENTAL, SOCIAL  Y  JURÍDICA PARA LA EJECUCIÓN CONDICIONAL POR FASES DEL PROYECTO "MEJORAMIENTO DEL SISTEMA DE ACUEDUCTO SEGÚN PLAN MAESTRO DEL MUNICIPIO DE RONCESVALLES" - FASE III</v>
      </c>
      <c r="C4" s="1047"/>
      <c r="D4" s="1047"/>
      <c r="E4" s="1047"/>
    </row>
    <row r="5" spans="1:5" ht="15.75">
      <c r="A5" s="949" t="s">
        <v>156</v>
      </c>
      <c r="B5" s="949"/>
      <c r="C5" s="949"/>
      <c r="D5" s="949"/>
      <c r="E5" s="949"/>
    </row>
    <row r="6" spans="1:5" ht="12">
      <c r="A6" s="445"/>
      <c r="B6" s="445"/>
      <c r="C6" s="445"/>
      <c r="D6" s="445"/>
      <c r="E6" s="445"/>
    </row>
    <row r="7" spans="1:5" ht="15">
      <c r="A7" s="579" t="s">
        <v>37</v>
      </c>
      <c r="B7" s="579" t="s">
        <v>38</v>
      </c>
      <c r="C7" s="1003" t="s">
        <v>39</v>
      </c>
      <c r="D7" s="1003"/>
      <c r="E7" s="579"/>
    </row>
    <row r="8" spans="1:7" s="448" customFormat="1" ht="15">
      <c r="A8" s="560">
        <v>1</v>
      </c>
      <c r="B8" s="559" t="s">
        <v>40</v>
      </c>
      <c r="C8" s="559"/>
      <c r="D8" s="563">
        <v>1</v>
      </c>
      <c r="E8" s="610">
        <f>(XMesProfesionales+XMesTecnicos)/(CdadProfesionales+CdadTecnicos)</f>
        <v>1532195.0694082396</v>
      </c>
      <c r="G8" s="444"/>
    </row>
    <row r="9" spans="1:7" s="448" customFormat="1" ht="15">
      <c r="A9" s="560">
        <v>2</v>
      </c>
      <c r="B9" s="559" t="s">
        <v>41</v>
      </c>
      <c r="C9" s="611"/>
      <c r="D9" s="563">
        <f>SUM(C10:C13)</f>
        <v>0.20915996666666664</v>
      </c>
      <c r="E9" s="595"/>
      <c r="G9" s="444"/>
    </row>
    <row r="10" spans="1:7" ht="12">
      <c r="A10" s="449">
        <v>2.1</v>
      </c>
      <c r="B10" s="450" t="s">
        <v>42</v>
      </c>
      <c r="C10" s="451">
        <f>+'INFORMACION DEL FP'!C10</f>
        <v>0.08333</v>
      </c>
      <c r="D10" s="451"/>
      <c r="E10" s="452">
        <f>+C10*XMesPersonalPromedio</f>
        <v>127677.81513378861</v>
      </c>
      <c r="G10" s="444"/>
    </row>
    <row r="11" spans="1:7" ht="12">
      <c r="A11" s="449">
        <v>2.2</v>
      </c>
      <c r="B11" s="450" t="s">
        <v>43</v>
      </c>
      <c r="C11" s="451">
        <f>+'INFORMACION DEL FP'!C11</f>
        <v>0.0008333</v>
      </c>
      <c r="D11" s="451"/>
      <c r="E11" s="452">
        <f>+C11*XMesPersonalPromedio</f>
        <v>1276.7781513378861</v>
      </c>
      <c r="G11" s="444"/>
    </row>
    <row r="12" spans="1:7" ht="12">
      <c r="A12" s="449">
        <v>2.3</v>
      </c>
      <c r="B12" s="450" t="s">
        <v>44</v>
      </c>
      <c r="C12" s="451">
        <f>+'INFORMACION DEL FP'!C12</f>
        <v>0.041666666666666664</v>
      </c>
      <c r="D12" s="451"/>
      <c r="E12" s="452">
        <f>+C12*XMesPersonalPromedio</f>
        <v>63841.461225343315</v>
      </c>
      <c r="G12" s="444"/>
    </row>
    <row r="13" spans="1:7" ht="12">
      <c r="A13" s="449">
        <v>2.4</v>
      </c>
      <c r="B13" s="450" t="s">
        <v>45</v>
      </c>
      <c r="C13" s="451">
        <f>+'INFORMACION DEL FP'!C13</f>
        <v>0.08333</v>
      </c>
      <c r="D13" s="451"/>
      <c r="E13" s="452">
        <f>+C13*XMesPersonalPromedio</f>
        <v>127677.81513378861</v>
      </c>
      <c r="G13" s="444"/>
    </row>
    <row r="14" spans="1:7" s="448" customFormat="1" ht="15">
      <c r="A14" s="560">
        <v>3</v>
      </c>
      <c r="B14" s="559" t="s">
        <v>46</v>
      </c>
      <c r="C14" s="563"/>
      <c r="D14" s="563">
        <f>SUM(C15:C19)</f>
        <v>0.3833</v>
      </c>
      <c r="E14" s="595"/>
      <c r="G14" s="444"/>
    </row>
    <row r="15" spans="1:7" ht="12">
      <c r="A15" s="449">
        <v>3.1</v>
      </c>
      <c r="B15" s="450" t="s">
        <v>47</v>
      </c>
      <c r="C15" s="451">
        <f>+'INFORMACION DEL FP'!C15</f>
        <v>0.085</v>
      </c>
      <c r="D15" s="451"/>
      <c r="E15" s="452">
        <f>+C15*XMesPersonalPromedio</f>
        <v>130236.58089970038</v>
      </c>
      <c r="G15" s="444"/>
    </row>
    <row r="16" spans="1:7" ht="12">
      <c r="A16" s="449">
        <v>3.2</v>
      </c>
      <c r="B16" s="450" t="s">
        <v>48</v>
      </c>
      <c r="C16" s="451">
        <f>+'INFORMACION DEL FP'!C16</f>
        <v>0.12</v>
      </c>
      <c r="D16" s="451"/>
      <c r="E16" s="452">
        <f>+C16*XMesPersonalPromedio</f>
        <v>183863.40832898873</v>
      </c>
      <c r="G16" s="444"/>
    </row>
    <row r="17" spans="1:7" ht="12">
      <c r="A17" s="449">
        <v>3.3</v>
      </c>
      <c r="B17" s="450" t="s">
        <v>49</v>
      </c>
      <c r="C17" s="451">
        <f>+'INFORMACION DEL FP'!C17</f>
        <v>0.01</v>
      </c>
      <c r="D17" s="451"/>
      <c r="E17" s="452">
        <f>+C17*XMesPersonalPromedio</f>
        <v>15321.950694082396</v>
      </c>
      <c r="G17" s="444"/>
    </row>
    <row r="18" spans="1:7" ht="12">
      <c r="A18" s="449">
        <v>3.4</v>
      </c>
      <c r="B18" s="450" t="s">
        <v>50</v>
      </c>
      <c r="C18" s="451">
        <f>+'INFORMACION DEL FP'!C18</f>
        <v>0.0783</v>
      </c>
      <c r="D18" s="451"/>
      <c r="E18" s="452">
        <f>+C18*XMesPersonalPromedio</f>
        <v>119970.87393466516</v>
      </c>
      <c r="G18" s="444"/>
    </row>
    <row r="19" spans="1:7" ht="12">
      <c r="A19" s="449">
        <v>3.5</v>
      </c>
      <c r="B19" s="450" t="s">
        <v>51</v>
      </c>
      <c r="C19" s="451">
        <f>+'INFORMACION DEL FP'!C19</f>
        <v>0.09</v>
      </c>
      <c r="D19" s="451"/>
      <c r="E19" s="452">
        <f>+C19*XMesPersonalPromedio</f>
        <v>137897.55624674156</v>
      </c>
      <c r="G19" s="444"/>
    </row>
    <row r="20" spans="1:7" s="448" customFormat="1" ht="15">
      <c r="A20" s="560">
        <v>4</v>
      </c>
      <c r="B20" s="559" t="s">
        <v>149</v>
      </c>
      <c r="C20" s="563"/>
      <c r="D20" s="563">
        <f>SUM(C21:C22)</f>
        <v>0</v>
      </c>
      <c r="E20" s="595"/>
      <c r="G20" s="444"/>
    </row>
    <row r="21" spans="1:7" ht="12">
      <c r="A21" s="449">
        <v>4.1</v>
      </c>
      <c r="B21" s="620" t="s">
        <v>53</v>
      </c>
      <c r="C21" s="454">
        <v>0</v>
      </c>
      <c r="D21" s="451"/>
      <c r="E21" s="452">
        <f>+C21*XMesPersonalPromedio</f>
        <v>0</v>
      </c>
      <c r="G21" s="444"/>
    </row>
    <row r="22" spans="1:7" ht="12">
      <c r="A22" s="449">
        <v>4.2</v>
      </c>
      <c r="B22" s="620" t="s">
        <v>54</v>
      </c>
      <c r="C22" s="454">
        <v>0</v>
      </c>
      <c r="D22" s="451"/>
      <c r="E22" s="452">
        <f>+C22*XMesPersonalPromedio</f>
        <v>0</v>
      </c>
      <c r="G22" s="444"/>
    </row>
    <row r="23" spans="1:7" ht="15">
      <c r="A23" s="1003" t="s">
        <v>55</v>
      </c>
      <c r="B23" s="1003"/>
      <c r="C23" s="1003"/>
      <c r="D23" s="580">
        <f>+D20+D14+D9+D8</f>
        <v>1.5924599666666666</v>
      </c>
      <c r="E23" s="581">
        <f>SUM(PrestacionesSeguridadOtros)</f>
        <v>2439959.3091566763</v>
      </c>
      <c r="G23" s="444"/>
    </row>
    <row r="24" spans="1:7" ht="12">
      <c r="A24" s="456"/>
      <c r="B24" s="456"/>
      <c r="C24" s="456"/>
      <c r="D24" s="457"/>
      <c r="E24" s="455"/>
      <c r="G24" s="444"/>
    </row>
    <row r="25" spans="1:7" ht="15">
      <c r="A25" s="612">
        <v>5</v>
      </c>
      <c r="B25" s="613" t="s">
        <v>150</v>
      </c>
      <c r="C25" s="614"/>
      <c r="D25" s="615"/>
      <c r="E25" s="595"/>
      <c r="G25" s="444"/>
    </row>
    <row r="26" spans="1:7" ht="12">
      <c r="A26" s="458"/>
      <c r="B26" s="459" t="s">
        <v>154</v>
      </c>
      <c r="C26" s="461">
        <f>CdadProfesionales+CdadTecnicos</f>
        <v>7</v>
      </c>
      <c r="D26" s="460"/>
      <c r="E26" s="453"/>
      <c r="G26" s="444"/>
    </row>
    <row r="27" spans="1:7" ht="36">
      <c r="A27" s="462">
        <v>5.1</v>
      </c>
      <c r="B27" s="545" t="s">
        <v>151</v>
      </c>
      <c r="C27" s="453"/>
      <c r="D27" s="447">
        <f>+E27/$E$8</f>
        <v>0.07701421740355857</v>
      </c>
      <c r="E27" s="463">
        <f>Oficina/(CdadProfesionales+CdadTecnicos+CdadNoFacturables+CdadCalidades)/PlazoEnMeses</f>
        <v>118000.80418006667</v>
      </c>
      <c r="F27" s="464"/>
      <c r="G27" s="444"/>
    </row>
    <row r="28" spans="1:7" ht="12">
      <c r="A28" s="462">
        <v>5.2</v>
      </c>
      <c r="B28" s="465" t="s">
        <v>152</v>
      </c>
      <c r="C28" s="453"/>
      <c r="D28" s="447">
        <f>+E28/$E$8</f>
        <v>0.024080414393143026</v>
      </c>
      <c r="E28" s="463">
        <f>NoFacturable/(CdadProfesionales+CdadTecnicos+CdadNoFacturables+CdadCalidades)/PlazoEnMeses</f>
        <v>36895.89220248095</v>
      </c>
      <c r="F28" s="464"/>
      <c r="G28" s="444"/>
    </row>
    <row r="29" spans="1:7" ht="12">
      <c r="A29" s="462">
        <v>5.3</v>
      </c>
      <c r="B29" s="465" t="s">
        <v>270</v>
      </c>
      <c r="C29" s="453"/>
      <c r="D29" s="447">
        <f>+E29/$E$8</f>
        <v>0</v>
      </c>
      <c r="E29" s="463">
        <f>Calidad/(CdadProfesionales+CdadTecnicos+CdadNoFacturables+CdadCalidades)/PlazoEnMeses</f>
        <v>0</v>
      </c>
      <c r="G29" s="444"/>
    </row>
    <row r="30" spans="1:7" ht="15">
      <c r="A30" s="616">
        <v>6</v>
      </c>
      <c r="B30" s="617" t="s">
        <v>153</v>
      </c>
      <c r="C30" s="618"/>
      <c r="D30" s="619"/>
      <c r="E30" s="595"/>
      <c r="G30" s="444"/>
    </row>
    <row r="31" spans="1:7" ht="12">
      <c r="A31" s="467">
        <v>6.01</v>
      </c>
      <c r="B31" s="468" t="str">
        <f>+'IMPUESTOS Y VR TOTAL'!B39</f>
        <v>Imp. Transac Fin (4x1000)</v>
      </c>
      <c r="C31" s="466"/>
      <c r="D31" s="447">
        <f>+E31/$E$8</f>
        <v>0.011248011407388061</v>
      </c>
      <c r="E31" s="463">
        <f>+'IMPUESTOS Y VR TOTAL'!E39/$C$26/$E$46</f>
        <v>17234.14761904762</v>
      </c>
      <c r="G31" s="444"/>
    </row>
    <row r="32" spans="1:7" ht="12">
      <c r="A32" s="462">
        <v>6.02</v>
      </c>
      <c r="B32" s="468" t="str">
        <f>+'IMPUESTOS Y VR TOTAL'!B40</f>
        <v>ICA</v>
      </c>
      <c r="C32" s="466"/>
      <c r="D32" s="447">
        <f aca="true" t="shared" si="0" ref="D32:D40">+E32/$E$8</f>
        <v>0.01672656868771069</v>
      </c>
      <c r="E32" s="463">
        <f>+'IMPUESTOS Y VR TOTAL'!E40/$C$26/$E$46</f>
        <v>25628.36607142857</v>
      </c>
      <c r="G32" s="444"/>
    </row>
    <row r="33" spans="1:7" ht="12">
      <c r="A33" s="462">
        <v>6.04</v>
      </c>
      <c r="B33" s="468" t="str">
        <f>+'IMPUESTOS Y VR TOTAL'!B41</f>
        <v>IVA</v>
      </c>
      <c r="C33" s="466"/>
      <c r="D33" s="447">
        <f t="shared" si="0"/>
        <v>0</v>
      </c>
      <c r="E33" s="463">
        <v>0</v>
      </c>
      <c r="G33" s="444"/>
    </row>
    <row r="34" spans="1:7" ht="12">
      <c r="A34" s="462">
        <v>6.05</v>
      </c>
      <c r="B34" s="468" t="str">
        <f>+'IMPUESTOS Y VR TOTAL'!B42</f>
        <v>Retención/Vr Total Cto Consul</v>
      </c>
      <c r="C34" s="466"/>
      <c r="D34" s="447">
        <f t="shared" si="0"/>
        <v>0.04848280779046577</v>
      </c>
      <c r="E34" s="463">
        <f>+'IMPUESTOS Y VR TOTAL'!E42/$C$26/$E$46</f>
        <v>74285.11904761904</v>
      </c>
      <c r="G34" s="444"/>
    </row>
    <row r="35" spans="1:7" ht="12">
      <c r="A35" s="462">
        <v>6.06</v>
      </c>
      <c r="B35" s="468" t="str">
        <f>+'IMPUESTOS Y VR TOTAL'!B43</f>
        <v>Timbre/Vr Total Cto</v>
      </c>
      <c r="C35" s="466"/>
      <c r="D35" s="447">
        <f t="shared" si="0"/>
        <v>0</v>
      </c>
      <c r="E35" s="463">
        <f>+'IMPUESTOS Y VR TOTAL'!E43/$C$26/$E$46</f>
        <v>0</v>
      </c>
      <c r="G35" s="444"/>
    </row>
    <row r="36" spans="1:7" ht="12">
      <c r="A36" s="462">
        <v>6.07</v>
      </c>
      <c r="B36" s="468" t="str">
        <f>+'IMPUESTOS Y VR TOTAL'!B44</f>
        <v>Garantía de Seriedad</v>
      </c>
      <c r="C36" s="466"/>
      <c r="D36" s="447">
        <f t="shared" si="0"/>
        <v>0.0006215794394566082</v>
      </c>
      <c r="E36" s="463">
        <f>+'IMPUESTOS Y VR TOTAL'!E44/$C$26/$E$46</f>
        <v>952.3809523809524</v>
      </c>
      <c r="G36" s="444"/>
    </row>
    <row r="37" spans="1:7" ht="12">
      <c r="A37" s="462">
        <v>6.08</v>
      </c>
      <c r="B37" s="468" t="str">
        <f>+'IMPUESTOS Y VR TOTAL'!B45</f>
        <v>Publicación Diario Oficial</v>
      </c>
      <c r="C37" s="466"/>
      <c r="D37" s="447">
        <f t="shared" si="0"/>
        <v>0</v>
      </c>
      <c r="E37" s="463">
        <f>+'IMPUESTOS Y VR TOTAL'!E45/$C$26/$E$46</f>
        <v>0</v>
      </c>
      <c r="G37" s="444"/>
    </row>
    <row r="38" spans="1:7" ht="12">
      <c r="A38" s="462">
        <v>6.09</v>
      </c>
      <c r="B38" s="468" t="str">
        <f>+'IMPUESTOS Y VR TOTAL'!B46</f>
        <v>Cumplimiento</v>
      </c>
      <c r="C38" s="466"/>
      <c r="D38" s="447">
        <f t="shared" si="0"/>
        <v>0.0008154808270356343</v>
      </c>
      <c r="E38" s="463">
        <f>+'IMPUESTOS Y VR TOTAL'!E46/$C$26/$E$46</f>
        <v>1249.4757023809523</v>
      </c>
      <c r="G38" s="444"/>
    </row>
    <row r="39" spans="1:7" ht="12">
      <c r="A39" s="462">
        <v>6.1</v>
      </c>
      <c r="B39" s="468" t="str">
        <f>+'IMPUESTOS Y VR TOTAL'!B47</f>
        <v>Salarios, Prestaciones</v>
      </c>
      <c r="C39" s="466"/>
      <c r="D39" s="447">
        <f t="shared" si="0"/>
        <v>0.005708365789249441</v>
      </c>
      <c r="E39" s="463">
        <f>+'IMPUESTOS Y VR TOTAL'!E47/$C$26/$E$46</f>
        <v>8746.329916666667</v>
      </c>
      <c r="G39" s="444"/>
    </row>
    <row r="40" spans="1:7" ht="12">
      <c r="A40" s="462">
        <v>6.11</v>
      </c>
      <c r="B40" s="468" t="str">
        <f>+'IMPUESTOS Y VR TOTAL'!B48</f>
        <v>Calidad de los Servicios</v>
      </c>
      <c r="C40" s="466"/>
      <c r="D40" s="447">
        <f t="shared" si="0"/>
        <v>0.002446442481106903</v>
      </c>
      <c r="E40" s="463">
        <f>+'IMPUESTOS Y VR TOTAL'!E48/$C$26/$E$46</f>
        <v>3748.4271071428575</v>
      </c>
      <c r="F40" s="469"/>
      <c r="G40" s="444"/>
    </row>
    <row r="41" spans="1:7" ht="12">
      <c r="A41" s="470"/>
      <c r="B41" s="471"/>
      <c r="C41" s="470"/>
      <c r="D41" s="472"/>
      <c r="E41" s="446"/>
      <c r="G41" s="444"/>
    </row>
    <row r="42" spans="1:12" s="448" customFormat="1" ht="26.25" customHeight="1">
      <c r="A42" s="560">
        <v>7</v>
      </c>
      <c r="B42" s="562" t="s">
        <v>614</v>
      </c>
      <c r="C42" s="559"/>
      <c r="D42" s="563">
        <v>0</v>
      </c>
      <c r="E42" s="555">
        <f>+$D$42*E8</f>
        <v>0</v>
      </c>
      <c r="F42" s="443"/>
      <c r="G42" s="469"/>
      <c r="H42" s="443"/>
      <c r="I42" s="444"/>
      <c r="J42" s="444"/>
      <c r="K42" s="444"/>
      <c r="L42" s="473"/>
    </row>
    <row r="43" spans="1:12" s="448" customFormat="1" ht="12">
      <c r="A43" s="474"/>
      <c r="B43" s="475"/>
      <c r="C43" s="475"/>
      <c r="D43" s="476"/>
      <c r="E43" s="477">
        <f>+E42+E27+E23+E31+E32+E33+E34+E35+E36+E37+E38+E39+E40+E28+E29</f>
        <v>2726700.2519558906</v>
      </c>
      <c r="F43" s="443"/>
      <c r="G43" s="443"/>
      <c r="H43" s="443"/>
      <c r="I43" s="444"/>
      <c r="J43" s="444"/>
      <c r="K43" s="444"/>
      <c r="L43" s="473"/>
    </row>
    <row r="44" spans="1:5" ht="12">
      <c r="A44" s="478"/>
      <c r="B44" s="478"/>
      <c r="C44" s="478"/>
      <c r="D44" s="478"/>
      <c r="E44" s="478"/>
    </row>
    <row r="45" spans="1:5" ht="15">
      <c r="A45" s="582"/>
      <c r="B45" s="582" t="s">
        <v>155</v>
      </c>
      <c r="C45" s="582"/>
      <c r="D45" s="583">
        <f>SUM(D23:D42)</f>
        <v>1.779603854885781</v>
      </c>
      <c r="E45" s="584">
        <f>+D45*(XMesProfesionales+XMesTecnicos)/(CdadProfesionales+CdadTecnicos)</f>
        <v>2726700.25195589</v>
      </c>
    </row>
    <row r="46" spans="1:5" ht="15">
      <c r="A46" s="582"/>
      <c r="B46" s="582" t="s">
        <v>158</v>
      </c>
      <c r="C46" s="582"/>
      <c r="D46" s="583"/>
      <c r="E46" s="584">
        <f>PlazoEnMeses</f>
        <v>6</v>
      </c>
    </row>
    <row r="47" spans="2:5" ht="12">
      <c r="B47" s="479"/>
      <c r="C47" s="479"/>
      <c r="D47" s="480"/>
      <c r="E47" s="478"/>
    </row>
    <row r="48" spans="1:8" ht="12">
      <c r="A48" s="1042" t="s">
        <v>121</v>
      </c>
      <c r="B48" s="1042"/>
      <c r="C48" s="470"/>
      <c r="D48" s="470"/>
      <c r="E48" s="481">
        <f>+'IMPUESTOS Y VR TOTAL'!F51</f>
        <v>180958550</v>
      </c>
      <c r="G48" s="482"/>
      <c r="H48" s="483"/>
    </row>
    <row r="49" spans="1:5" ht="12">
      <c r="A49" s="1042" t="s">
        <v>159</v>
      </c>
      <c r="B49" s="1042"/>
      <c r="C49" s="470"/>
      <c r="D49" s="470"/>
      <c r="E49" s="481">
        <f>Profesional+Tecnico+NoFacturable+Calidad+Oficina</f>
        <v>125000195.0305701</v>
      </c>
    </row>
    <row r="50" spans="1:8" ht="12">
      <c r="A50" s="1042" t="s">
        <v>169</v>
      </c>
      <c r="B50" s="1042"/>
      <c r="C50" s="461">
        <f>CdadProfesionales+CdadTecnicos</f>
        <v>7</v>
      </c>
      <c r="D50" s="470"/>
      <c r="E50" s="484">
        <f>(CdadProfesionales+CdadTecnicos)*FactorMultiplicaCalculado*(XMesProfesionales+XMesTecnicos)*PlazoEnMeses/(CdadProfesionales+CdadTecnicos)</f>
        <v>114521410.58214737</v>
      </c>
      <c r="G50" s="485"/>
      <c r="H50" s="483"/>
    </row>
    <row r="51" spans="1:5" ht="12">
      <c r="A51" s="1042" t="s">
        <v>160</v>
      </c>
      <c r="B51" s="1042"/>
      <c r="C51" s="486"/>
      <c r="D51" s="470"/>
      <c r="E51" s="484">
        <f>Equipos+Viajes+Tramite+Ensayos+Campamento</f>
        <v>25461099.997544874</v>
      </c>
    </row>
    <row r="52" spans="1:12" s="448" customFormat="1" ht="12">
      <c r="A52" s="1044" t="s">
        <v>161</v>
      </c>
      <c r="B52" s="1044"/>
      <c r="C52" s="487"/>
      <c r="D52" s="488"/>
      <c r="E52" s="481">
        <f>SUM(E50:E51)</f>
        <v>139982510.57969224</v>
      </c>
      <c r="F52" s="443"/>
      <c r="G52" s="464"/>
      <c r="H52" s="443"/>
      <c r="I52" s="444"/>
      <c r="J52" s="444"/>
      <c r="K52" s="444"/>
      <c r="L52" s="473"/>
    </row>
    <row r="53" spans="1:5" ht="12">
      <c r="A53" s="1042" t="s">
        <v>120</v>
      </c>
      <c r="B53" s="1042"/>
      <c r="C53" s="489">
        <f>+'IMPUESTOS Y VR TOTAL'!C74</f>
        <v>0.16</v>
      </c>
      <c r="D53" s="470"/>
      <c r="E53" s="484">
        <f>+E52*C53</f>
        <v>22397201.69275076</v>
      </c>
    </row>
    <row r="54" spans="1:5" ht="12">
      <c r="A54" s="1042" t="s">
        <v>171</v>
      </c>
      <c r="B54" s="1042"/>
      <c r="C54" s="486"/>
      <c r="D54" s="470"/>
      <c r="E54" s="481">
        <f>+E53+E52</f>
        <v>162379712.272443</v>
      </c>
    </row>
    <row r="55" spans="1:5" ht="12">
      <c r="A55" s="1042" t="s">
        <v>168</v>
      </c>
      <c r="B55" s="1042"/>
      <c r="C55" s="486"/>
      <c r="D55" s="470"/>
      <c r="E55" s="481">
        <f>+E48-E54</f>
        <v>18578837.727557003</v>
      </c>
    </row>
    <row r="56" spans="1:5" ht="12">
      <c r="A56" s="470"/>
      <c r="B56" s="470"/>
      <c r="C56" s="486"/>
      <c r="D56" s="470"/>
      <c r="E56" s="481"/>
    </row>
    <row r="57" spans="1:7" ht="12">
      <c r="A57" s="488" t="s">
        <v>170</v>
      </c>
      <c r="B57" s="488"/>
      <c r="C57" s="488"/>
      <c r="D57" s="490"/>
      <c r="E57" s="622">
        <v>2.14323918697238</v>
      </c>
      <c r="G57" s="464"/>
    </row>
    <row r="58" spans="1:7" ht="12">
      <c r="A58" s="1042" t="s">
        <v>169</v>
      </c>
      <c r="B58" s="1042"/>
      <c r="C58" s="461">
        <f>CdadProfesionales+CdadTecnicos</f>
        <v>7</v>
      </c>
      <c r="D58" s="470"/>
      <c r="E58" s="484">
        <f>C58*E46*XMesPersonalPromedio*FactorMultFinal</f>
        <v>137922141.6233474</v>
      </c>
      <c r="G58" s="464"/>
    </row>
    <row r="59" spans="1:5" ht="12">
      <c r="A59" s="1042" t="s">
        <v>160</v>
      </c>
      <c r="B59" s="1042"/>
      <c r="C59" s="486"/>
      <c r="D59" s="470"/>
      <c r="E59" s="484">
        <f>Equipos+Viajes+Ensayos+Campamento+Tramite</f>
        <v>25461099.997544874</v>
      </c>
    </row>
    <row r="60" spans="1:5" ht="12">
      <c r="A60" s="1044" t="s">
        <v>161</v>
      </c>
      <c r="B60" s="1044"/>
      <c r="C60" s="487"/>
      <c r="D60" s="488"/>
      <c r="E60" s="621">
        <f>SUM(E58:E59)</f>
        <v>163383241.6208923</v>
      </c>
    </row>
    <row r="61" spans="1:5" ht="12">
      <c r="A61" s="1042" t="s">
        <v>120</v>
      </c>
      <c r="B61" s="1042"/>
      <c r="C61" s="489">
        <f>+'IMPUESTOS Y VR TOTAL'!C74</f>
        <v>0.16</v>
      </c>
      <c r="D61" s="470"/>
      <c r="E61" s="623">
        <f>+E60*C61</f>
        <v>26141318.659342766</v>
      </c>
    </row>
    <row r="62" spans="1:5" ht="15">
      <c r="A62" s="1043" t="s">
        <v>121</v>
      </c>
      <c r="B62" s="1043"/>
      <c r="C62" s="558"/>
      <c r="D62" s="557"/>
      <c r="E62" s="558">
        <f>+E61+E60</f>
        <v>189524560.28023505</v>
      </c>
    </row>
    <row r="63" ht="12">
      <c r="E63" s="491">
        <f>+E62-E48</f>
        <v>8566010.280235052</v>
      </c>
    </row>
    <row r="64" ht="5.25" customHeight="1">
      <c r="E64" s="492"/>
    </row>
    <row r="65" spans="1:10" ht="12">
      <c r="A65" s="493" t="s">
        <v>628</v>
      </c>
      <c r="B65" s="494"/>
      <c r="C65" s="495" t="str">
        <f>'INFORMACION DEL FP'!C30</f>
        <v>DLOPEZ</v>
      </c>
      <c r="D65" s="496"/>
      <c r="E65" s="464"/>
      <c r="G65" s="497"/>
      <c r="H65" s="498"/>
      <c r="J65" s="499"/>
    </row>
    <row r="66" spans="5:13" ht="12">
      <c r="E66" s="464"/>
      <c r="H66" s="444"/>
      <c r="M66" s="444"/>
    </row>
    <row r="67" spans="7:13" ht="12">
      <c r="G67" s="464"/>
      <c r="H67" s="500"/>
      <c r="K67" s="473"/>
      <c r="L67" s="473"/>
      <c r="M67" s="444"/>
    </row>
    <row r="68" spans="7:13" ht="12">
      <c r="G68" s="464"/>
      <c r="H68" s="500"/>
      <c r="L68" s="473"/>
      <c r="M68" s="444"/>
    </row>
    <row r="69" spans="7:13" ht="12">
      <c r="G69" s="464"/>
      <c r="H69" s="500"/>
      <c r="M69" s="444"/>
    </row>
    <row r="70" spans="7:13" ht="12">
      <c r="G70" s="464"/>
      <c r="H70" s="500"/>
      <c r="M70" s="444"/>
    </row>
    <row r="71" spans="7:13" ht="12">
      <c r="G71" s="464"/>
      <c r="H71" s="500"/>
      <c r="M71" s="444"/>
    </row>
    <row r="72" spans="7:13" ht="12">
      <c r="G72" s="464"/>
      <c r="H72" s="500"/>
      <c r="M72" s="444"/>
    </row>
    <row r="73" spans="7:13" ht="12">
      <c r="G73" s="464"/>
      <c r="H73" s="500"/>
      <c r="M73" s="444"/>
    </row>
    <row r="74" spans="7:13" ht="12">
      <c r="G74" s="464"/>
      <c r="H74" s="500"/>
      <c r="M74" s="473"/>
    </row>
    <row r="75" spans="7:13" ht="12">
      <c r="G75" s="464"/>
      <c r="H75" s="500"/>
      <c r="M75" s="444"/>
    </row>
    <row r="76" spans="7:13" ht="12">
      <c r="G76" s="464"/>
      <c r="H76" s="500"/>
      <c r="M76" s="444"/>
    </row>
    <row r="77" spans="7:13" ht="12">
      <c r="G77" s="464"/>
      <c r="H77" s="500"/>
      <c r="M77" s="444"/>
    </row>
    <row r="78" spans="7:13" ht="12">
      <c r="G78" s="464"/>
      <c r="H78" s="500"/>
      <c r="M78" s="444"/>
    </row>
    <row r="79" spans="7:13" ht="12">
      <c r="G79" s="464"/>
      <c r="H79" s="500"/>
      <c r="M79" s="444"/>
    </row>
    <row r="80" spans="7:13" ht="12">
      <c r="G80" s="464"/>
      <c r="H80" s="500"/>
      <c r="M80" s="444"/>
    </row>
    <row r="81" spans="7:13" ht="12">
      <c r="G81" s="464"/>
      <c r="H81" s="500"/>
      <c r="M81" s="444"/>
    </row>
    <row r="82" spans="7:13" ht="12">
      <c r="G82" s="464"/>
      <c r="H82" s="500"/>
      <c r="M82" s="444"/>
    </row>
    <row r="83" spans="7:13" ht="12">
      <c r="G83" s="464"/>
      <c r="H83" s="500"/>
      <c r="M83" s="444"/>
    </row>
    <row r="84" spans="7:13" ht="12">
      <c r="G84" s="464"/>
      <c r="H84" s="500"/>
      <c r="M84" s="444"/>
    </row>
    <row r="85" spans="7:13" ht="12">
      <c r="G85" s="464"/>
      <c r="H85" s="500"/>
      <c r="M85" s="444"/>
    </row>
    <row r="86" spans="7:10" ht="12">
      <c r="G86" s="497"/>
      <c r="H86" s="498"/>
      <c r="J86" s="499"/>
    </row>
    <row r="87" spans="7:11" ht="12">
      <c r="G87" s="464"/>
      <c r="H87" s="500"/>
      <c r="K87" s="473"/>
    </row>
    <row r="88" spans="7:8" ht="12">
      <c r="G88" s="464"/>
      <c r="H88" s="500"/>
    </row>
    <row r="89" spans="7:8" ht="12">
      <c r="G89" s="464"/>
      <c r="H89" s="500"/>
    </row>
    <row r="90" spans="7:8" ht="12">
      <c r="G90" s="464"/>
      <c r="H90" s="500"/>
    </row>
    <row r="91" spans="7:8" ht="12">
      <c r="G91" s="464"/>
      <c r="H91" s="500"/>
    </row>
    <row r="92" spans="7:8" ht="12">
      <c r="G92" s="464"/>
      <c r="H92" s="500"/>
    </row>
    <row r="93" spans="7:8" ht="12">
      <c r="G93" s="464"/>
      <c r="H93" s="500"/>
    </row>
    <row r="94" spans="7:8" ht="12">
      <c r="G94" s="464"/>
      <c r="H94" s="500"/>
    </row>
    <row r="95" spans="7:8" ht="12">
      <c r="G95" s="464"/>
      <c r="H95" s="500"/>
    </row>
    <row r="96" spans="7:8" ht="12">
      <c r="G96" s="464"/>
      <c r="H96" s="500"/>
    </row>
  </sheetData>
  <sheetProtection/>
  <mergeCells count="20">
    <mergeCell ref="A51:B51"/>
    <mergeCell ref="A52:B52"/>
    <mergeCell ref="A1:E1"/>
    <mergeCell ref="A2:E2"/>
    <mergeCell ref="A3:E3"/>
    <mergeCell ref="B4:E4"/>
    <mergeCell ref="A5:E5"/>
    <mergeCell ref="C7:D7"/>
    <mergeCell ref="A23:C23"/>
    <mergeCell ref="A48:B48"/>
    <mergeCell ref="A49:B49"/>
    <mergeCell ref="A50:B50"/>
    <mergeCell ref="A61:B61"/>
    <mergeCell ref="A62:B62"/>
    <mergeCell ref="A53:B53"/>
    <mergeCell ref="A54:B54"/>
    <mergeCell ref="A55:B55"/>
    <mergeCell ref="A58:B58"/>
    <mergeCell ref="A59:B59"/>
    <mergeCell ref="A60:B60"/>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75" r:id="rId2"/>
  <headerFooter alignWithMargins="0">
    <oddHeader>&amp;CAnálisis de Costos - Área de Estudios Previos</oddHeader>
    <oddFooter>&amp;L16/02/2010&amp;R0</oddFooter>
  </headerFooter>
  <legacyDrawing r:id="rId1"/>
</worksheet>
</file>

<file path=xl/worksheets/sheet11.xml><?xml version="1.0" encoding="utf-8"?>
<worksheet xmlns="http://schemas.openxmlformats.org/spreadsheetml/2006/main" xmlns:r="http://schemas.openxmlformats.org/officeDocument/2006/relationships">
  <sheetPr codeName="Hoja9"/>
  <dimension ref="A1:R34"/>
  <sheetViews>
    <sheetView zoomScalePageLayoutView="0" workbookViewId="0" topLeftCell="A1">
      <selection activeCell="D47" sqref="D47"/>
    </sheetView>
  </sheetViews>
  <sheetFormatPr defaultColWidth="13.33203125" defaultRowHeight="12.75" outlineLevelRow="1"/>
  <cols>
    <col min="1" max="2" width="13.33203125" style="30" customWidth="1"/>
    <col min="3" max="13" width="8.83203125" style="30" customWidth="1"/>
    <col min="14" max="17" width="13.33203125" style="30" customWidth="1"/>
    <col min="18" max="18" width="7" style="30" bestFit="1" customWidth="1"/>
    <col min="19" max="16384" width="13.33203125" style="30" customWidth="1"/>
  </cols>
  <sheetData>
    <row r="1" ht="15.75">
      <c r="A1" s="29" t="s">
        <v>180</v>
      </c>
    </row>
    <row r="3" ht="12.75" hidden="1" outlineLevel="1">
      <c r="A3" s="23"/>
    </row>
    <row r="4" spans="1:17" ht="12.75" customHeight="1" hidden="1" outlineLevel="1">
      <c r="A4" s="1054" t="s">
        <v>181</v>
      </c>
      <c r="B4" s="1055"/>
      <c r="C4" s="1055"/>
      <c r="D4" s="1055"/>
      <c r="E4" s="1055"/>
      <c r="F4" s="1055"/>
      <c r="G4" s="1055"/>
      <c r="H4" s="1055"/>
      <c r="I4" s="1055"/>
      <c r="J4" s="1055"/>
      <c r="K4" s="1055"/>
      <c r="L4" s="1055"/>
      <c r="M4" s="1055"/>
      <c r="N4" s="1055"/>
      <c r="O4" s="1055"/>
      <c r="P4" s="1055"/>
      <c r="Q4" s="1056"/>
    </row>
    <row r="5" spans="1:17" ht="12.75" customHeight="1" hidden="1" outlineLevel="1">
      <c r="A5" s="1057" t="s">
        <v>182</v>
      </c>
      <c r="B5" s="1058"/>
      <c r="C5" s="1058"/>
      <c r="D5" s="1058"/>
      <c r="E5" s="1058"/>
      <c r="F5" s="1058"/>
      <c r="G5" s="1058"/>
      <c r="H5" s="1058"/>
      <c r="I5" s="1058"/>
      <c r="J5" s="1058"/>
      <c r="K5" s="1058"/>
      <c r="L5" s="1058"/>
      <c r="M5" s="1058"/>
      <c r="N5" s="1058"/>
      <c r="O5" s="1058"/>
      <c r="P5" s="1058"/>
      <c r="Q5" s="1059"/>
    </row>
    <row r="6" spans="1:17" ht="12.75" customHeight="1" hidden="1" outlineLevel="1">
      <c r="A6" s="1060" t="s">
        <v>183</v>
      </c>
      <c r="B6" s="1061"/>
      <c r="C6" s="1061"/>
      <c r="D6" s="1061"/>
      <c r="E6" s="1061"/>
      <c r="F6" s="1061"/>
      <c r="G6" s="1061"/>
      <c r="H6" s="1061"/>
      <c r="I6" s="1061"/>
      <c r="J6" s="1061"/>
      <c r="K6" s="1061"/>
      <c r="L6" s="1061"/>
      <c r="M6" s="1061"/>
      <c r="N6" s="1061"/>
      <c r="O6" s="1061"/>
      <c r="P6" s="1061"/>
      <c r="Q6" s="1062"/>
    </row>
    <row r="7" spans="1:17" ht="12.75" customHeight="1" hidden="1" outlineLevel="1">
      <c r="A7" s="31"/>
      <c r="B7" s="1063" t="s">
        <v>184</v>
      </c>
      <c r="C7" s="1064"/>
      <c r="D7" s="1064"/>
      <c r="E7" s="1064"/>
      <c r="F7" s="1064"/>
      <c r="G7" s="1064"/>
      <c r="H7" s="1064"/>
      <c r="I7" s="1064"/>
      <c r="J7" s="1064"/>
      <c r="K7" s="1064"/>
      <c r="L7" s="1064"/>
      <c r="M7" s="1064"/>
      <c r="N7" s="1064"/>
      <c r="O7" s="1064"/>
      <c r="P7" s="1064"/>
      <c r="Q7" s="1065"/>
    </row>
    <row r="8" spans="1:17" ht="12.75" hidden="1" outlineLevel="1">
      <c r="A8" s="32" t="s">
        <v>185</v>
      </c>
      <c r="B8" s="32">
        <v>1990</v>
      </c>
      <c r="C8" s="32"/>
      <c r="D8" s="32">
        <v>1992</v>
      </c>
      <c r="E8" s="32">
        <v>1993</v>
      </c>
      <c r="F8" s="32">
        <v>1994</v>
      </c>
      <c r="G8" s="32">
        <v>1995</v>
      </c>
      <c r="H8" s="32">
        <v>1996</v>
      </c>
      <c r="I8" s="32">
        <v>1997</v>
      </c>
      <c r="J8" s="32">
        <v>1998</v>
      </c>
      <c r="K8" s="32">
        <v>1999</v>
      </c>
      <c r="L8" s="32">
        <v>2000</v>
      </c>
      <c r="M8" s="32">
        <v>2001</v>
      </c>
      <c r="N8" s="32">
        <v>2002</v>
      </c>
      <c r="O8" s="33">
        <v>2003</v>
      </c>
      <c r="P8" s="33">
        <v>2004</v>
      </c>
      <c r="Q8" s="33">
        <v>2005</v>
      </c>
    </row>
    <row r="9" spans="1:17" ht="12.75" hidden="1" outlineLevel="1">
      <c r="A9" s="34" t="s">
        <v>186</v>
      </c>
      <c r="B9" s="35">
        <v>3.3</v>
      </c>
      <c r="C9" s="35"/>
      <c r="D9" s="35">
        <v>3.49</v>
      </c>
      <c r="E9" s="35">
        <v>3.24</v>
      </c>
      <c r="F9" s="35">
        <v>3.15</v>
      </c>
      <c r="G9" s="35">
        <v>1.84</v>
      </c>
      <c r="H9" s="35">
        <v>2.51</v>
      </c>
      <c r="I9" s="35">
        <v>1.65</v>
      </c>
      <c r="J9" s="35">
        <v>1.79</v>
      </c>
      <c r="K9" s="35">
        <v>2.21</v>
      </c>
      <c r="L9" s="35">
        <v>1.29</v>
      </c>
      <c r="M9" s="35">
        <v>1.05</v>
      </c>
      <c r="N9" s="35">
        <v>0.8</v>
      </c>
      <c r="O9" s="36">
        <v>1.17</v>
      </c>
      <c r="P9" s="36">
        <v>0.89</v>
      </c>
      <c r="Q9" s="36">
        <v>0.82</v>
      </c>
    </row>
    <row r="10" spans="1:17" ht="12.75" hidden="1" outlineLevel="1">
      <c r="A10" s="34" t="s">
        <v>187</v>
      </c>
      <c r="B10" s="35">
        <v>3.66</v>
      </c>
      <c r="C10" s="35"/>
      <c r="D10" s="35">
        <v>3.34</v>
      </c>
      <c r="E10" s="35">
        <v>3.25</v>
      </c>
      <c r="F10" s="35">
        <v>3.68</v>
      </c>
      <c r="G10" s="35">
        <v>3.52</v>
      </c>
      <c r="H10" s="35">
        <v>4.01</v>
      </c>
      <c r="I10" s="35">
        <v>3.11</v>
      </c>
      <c r="J10" s="35">
        <v>3.28</v>
      </c>
      <c r="K10" s="35">
        <v>1.7</v>
      </c>
      <c r="L10" s="35">
        <v>2.3</v>
      </c>
      <c r="M10" s="35">
        <v>1.89</v>
      </c>
      <c r="N10" s="35">
        <v>1.26</v>
      </c>
      <c r="O10" s="36">
        <v>1.11</v>
      </c>
      <c r="P10" s="36">
        <v>1.2</v>
      </c>
      <c r="Q10" s="36">
        <v>1.02</v>
      </c>
    </row>
    <row r="11" spans="1:17" ht="12.75" hidden="1" outlineLevel="1">
      <c r="A11" s="34" t="s">
        <v>188</v>
      </c>
      <c r="B11" s="35">
        <v>2.89</v>
      </c>
      <c r="C11" s="35"/>
      <c r="D11" s="35">
        <v>2.31</v>
      </c>
      <c r="E11" s="35">
        <v>1.87</v>
      </c>
      <c r="F11" s="35">
        <v>2.21</v>
      </c>
      <c r="G11" s="35">
        <v>2.61</v>
      </c>
      <c r="H11" s="35">
        <v>2.1</v>
      </c>
      <c r="I11" s="35">
        <v>1.55</v>
      </c>
      <c r="J11" s="35">
        <v>2.6</v>
      </c>
      <c r="K11" s="35">
        <v>0.94</v>
      </c>
      <c r="L11" s="35">
        <v>1.71</v>
      </c>
      <c r="M11" s="35">
        <v>1.48</v>
      </c>
      <c r="N11" s="35">
        <v>0.71</v>
      </c>
      <c r="O11" s="37" t="s">
        <v>189</v>
      </c>
      <c r="P11" s="37">
        <v>0.98</v>
      </c>
      <c r="Q11" s="37" t="s">
        <v>190</v>
      </c>
    </row>
    <row r="12" spans="1:17" ht="12.75" hidden="1" outlineLevel="1">
      <c r="A12" s="34" t="s">
        <v>191</v>
      </c>
      <c r="B12" s="35">
        <v>2.81</v>
      </c>
      <c r="C12" s="35"/>
      <c r="D12" s="35">
        <v>2.85</v>
      </c>
      <c r="E12" s="35">
        <v>1.94</v>
      </c>
      <c r="F12" s="35">
        <v>2.37</v>
      </c>
      <c r="G12" s="35">
        <v>2.23</v>
      </c>
      <c r="H12" s="35">
        <v>1.97</v>
      </c>
      <c r="I12" s="35">
        <v>1.62</v>
      </c>
      <c r="J12" s="35">
        <v>2.9</v>
      </c>
      <c r="K12" s="35">
        <v>0.78</v>
      </c>
      <c r="L12" s="35">
        <v>1</v>
      </c>
      <c r="M12" s="35">
        <v>1.15</v>
      </c>
      <c r="N12" s="35">
        <v>0.92</v>
      </c>
      <c r="O12" s="37" t="s">
        <v>192</v>
      </c>
      <c r="P12" s="37">
        <v>0.46</v>
      </c>
      <c r="Q12" s="37">
        <v>0.44</v>
      </c>
    </row>
    <row r="13" spans="1:17" ht="12.75" hidden="1" outlineLevel="1">
      <c r="A13" s="34" t="s">
        <v>193</v>
      </c>
      <c r="B13" s="35">
        <v>1.95</v>
      </c>
      <c r="C13" s="35"/>
      <c r="D13" s="35">
        <v>2.32</v>
      </c>
      <c r="E13" s="35">
        <v>1.6</v>
      </c>
      <c r="F13" s="35">
        <v>1.54</v>
      </c>
      <c r="G13" s="35">
        <v>1.65</v>
      </c>
      <c r="H13" s="35">
        <v>1.55</v>
      </c>
      <c r="I13" s="35">
        <v>1.62</v>
      </c>
      <c r="J13" s="35">
        <v>1.56</v>
      </c>
      <c r="K13" s="35">
        <v>0.48</v>
      </c>
      <c r="L13" s="35">
        <v>0.52</v>
      </c>
      <c r="M13" s="35">
        <v>0.42</v>
      </c>
      <c r="N13" s="35">
        <v>0.6</v>
      </c>
      <c r="O13" s="37" t="s">
        <v>194</v>
      </c>
      <c r="P13" s="37">
        <v>0.38</v>
      </c>
      <c r="Q13" s="37">
        <v>0.41</v>
      </c>
    </row>
    <row r="14" spans="1:17" ht="12.75" hidden="1" outlineLevel="1">
      <c r="A14" s="34" t="s">
        <v>195</v>
      </c>
      <c r="B14" s="35">
        <v>1.95</v>
      </c>
      <c r="C14" s="35"/>
      <c r="D14" s="35">
        <v>2.24</v>
      </c>
      <c r="E14" s="35">
        <v>1.54</v>
      </c>
      <c r="F14" s="35">
        <v>0.9</v>
      </c>
      <c r="G14" s="35">
        <v>1.2</v>
      </c>
      <c r="H14" s="35">
        <v>1.14</v>
      </c>
      <c r="I14" s="35">
        <v>1.2</v>
      </c>
      <c r="J14" s="35">
        <v>1.22</v>
      </c>
      <c r="K14" s="35">
        <v>0.28</v>
      </c>
      <c r="L14" s="35">
        <v>-0.02</v>
      </c>
      <c r="M14" s="35">
        <v>0.04</v>
      </c>
      <c r="N14" s="35">
        <v>0.43</v>
      </c>
      <c r="O14" s="37" t="s">
        <v>196</v>
      </c>
      <c r="P14" s="37">
        <v>0.6</v>
      </c>
      <c r="Q14" s="37">
        <v>0.4</v>
      </c>
    </row>
    <row r="15" spans="1:17" ht="12.75" hidden="1" outlineLevel="1">
      <c r="A15" s="34" t="s">
        <v>197</v>
      </c>
      <c r="B15" s="35">
        <v>1.35</v>
      </c>
      <c r="C15" s="35"/>
      <c r="D15" s="35">
        <v>1.99</v>
      </c>
      <c r="E15" s="35">
        <v>1.23</v>
      </c>
      <c r="F15" s="35">
        <v>0.91</v>
      </c>
      <c r="G15" s="35">
        <v>0.77</v>
      </c>
      <c r="H15" s="35">
        <v>1.51</v>
      </c>
      <c r="I15" s="35">
        <v>0.83</v>
      </c>
      <c r="J15" s="35">
        <v>0.47</v>
      </c>
      <c r="K15" s="35">
        <v>0.31</v>
      </c>
      <c r="L15" s="35">
        <v>-0.04</v>
      </c>
      <c r="M15" s="35">
        <v>0.11</v>
      </c>
      <c r="N15" s="35">
        <v>0.02</v>
      </c>
      <c r="O15" s="37" t="s">
        <v>198</v>
      </c>
      <c r="P15" s="37" t="s">
        <v>199</v>
      </c>
      <c r="Q15" s="37" t="s">
        <v>200</v>
      </c>
    </row>
    <row r="16" spans="1:17" ht="12.75" hidden="1" outlineLevel="1">
      <c r="A16" s="34" t="s">
        <v>201</v>
      </c>
      <c r="B16" s="35">
        <v>1.58</v>
      </c>
      <c r="C16" s="35"/>
      <c r="D16" s="35">
        <v>0.75</v>
      </c>
      <c r="E16" s="35">
        <v>1.25</v>
      </c>
      <c r="F16" s="35">
        <v>0.97</v>
      </c>
      <c r="G16" s="35">
        <v>0.63</v>
      </c>
      <c r="H16" s="35">
        <v>1.1</v>
      </c>
      <c r="I16" s="35">
        <v>1.14</v>
      </c>
      <c r="J16" s="35">
        <v>0.03</v>
      </c>
      <c r="K16" s="35">
        <v>0.5</v>
      </c>
      <c r="L16" s="35">
        <v>0.32</v>
      </c>
      <c r="M16" s="35">
        <v>0.26</v>
      </c>
      <c r="N16" s="35">
        <v>0.09</v>
      </c>
      <c r="O16" s="37" t="s">
        <v>202</v>
      </c>
      <c r="P16" s="37" t="s">
        <v>203</v>
      </c>
      <c r="Q16" s="37" t="s">
        <v>204</v>
      </c>
    </row>
    <row r="17" spans="1:17" ht="12.75" hidden="1" outlineLevel="1">
      <c r="A17" s="34" t="s">
        <v>205</v>
      </c>
      <c r="B17" s="35">
        <v>2.37</v>
      </c>
      <c r="C17" s="35"/>
      <c r="D17" s="35">
        <v>0.83</v>
      </c>
      <c r="E17" s="35">
        <v>1.12</v>
      </c>
      <c r="F17" s="35">
        <v>1.09</v>
      </c>
      <c r="G17" s="35">
        <v>0.84</v>
      </c>
      <c r="H17" s="35">
        <v>1.19</v>
      </c>
      <c r="I17" s="35">
        <v>1.26</v>
      </c>
      <c r="J17" s="35">
        <v>0.29</v>
      </c>
      <c r="K17" s="35">
        <v>0.33</v>
      </c>
      <c r="L17" s="35">
        <v>0.43</v>
      </c>
      <c r="M17" s="35" t="s">
        <v>206</v>
      </c>
      <c r="N17" s="35">
        <v>0.36</v>
      </c>
      <c r="O17" s="37" t="s">
        <v>207</v>
      </c>
      <c r="P17" s="37">
        <v>0.3</v>
      </c>
      <c r="Q17" s="37" t="s">
        <v>208</v>
      </c>
    </row>
    <row r="18" spans="1:17" ht="12.75" hidden="1" outlineLevel="1">
      <c r="A18" s="34" t="s">
        <v>209</v>
      </c>
      <c r="B18" s="35">
        <v>1.92</v>
      </c>
      <c r="C18" s="35"/>
      <c r="D18" s="35">
        <v>0.85</v>
      </c>
      <c r="E18" s="35">
        <v>1.06</v>
      </c>
      <c r="F18" s="35">
        <v>1.11</v>
      </c>
      <c r="G18" s="35">
        <v>0.88</v>
      </c>
      <c r="H18" s="35">
        <v>1.15</v>
      </c>
      <c r="I18" s="35">
        <v>0.96</v>
      </c>
      <c r="J18" s="35">
        <v>0.35</v>
      </c>
      <c r="K18" s="35">
        <v>0.35</v>
      </c>
      <c r="L18" s="35">
        <v>0.15</v>
      </c>
      <c r="M18" s="35">
        <v>0.19</v>
      </c>
      <c r="N18" s="35">
        <v>0.56</v>
      </c>
      <c r="O18" s="37" t="s">
        <v>210</v>
      </c>
      <c r="P18" s="37" t="s">
        <v>211</v>
      </c>
      <c r="Q18" s="37" t="s">
        <v>212</v>
      </c>
    </row>
    <row r="19" spans="1:17" ht="12.75" hidden="1" outlineLevel="1">
      <c r="A19" s="34" t="s">
        <v>213</v>
      </c>
      <c r="B19" s="35">
        <v>2.03</v>
      </c>
      <c r="C19" s="35"/>
      <c r="D19" s="35">
        <v>0.72</v>
      </c>
      <c r="E19" s="35">
        <v>1.29</v>
      </c>
      <c r="F19" s="35">
        <v>1.11</v>
      </c>
      <c r="G19" s="35">
        <v>0.79</v>
      </c>
      <c r="H19" s="35">
        <v>0.8</v>
      </c>
      <c r="I19" s="35">
        <v>0.81</v>
      </c>
      <c r="J19" s="35">
        <v>0.17</v>
      </c>
      <c r="K19" s="35">
        <v>0.48</v>
      </c>
      <c r="L19" s="35">
        <v>0.33</v>
      </c>
      <c r="M19" s="35">
        <v>0.12</v>
      </c>
      <c r="N19" s="35">
        <v>0.78</v>
      </c>
      <c r="O19" s="37" t="s">
        <v>214</v>
      </c>
      <c r="P19" s="37">
        <v>0.28</v>
      </c>
      <c r="Q19" s="37" t="s">
        <v>215</v>
      </c>
    </row>
    <row r="20" spans="1:17" ht="12.75" hidden="1" outlineLevel="1">
      <c r="A20" s="34" t="s">
        <v>216</v>
      </c>
      <c r="B20" s="35">
        <v>2.52</v>
      </c>
      <c r="C20" s="35"/>
      <c r="D20" s="35">
        <v>0.94</v>
      </c>
      <c r="E20" s="35">
        <v>1.13</v>
      </c>
      <c r="F20" s="35">
        <v>1.49</v>
      </c>
      <c r="G20" s="35">
        <v>0.92</v>
      </c>
      <c r="H20" s="35">
        <v>0.72</v>
      </c>
      <c r="I20" s="35">
        <v>0.61</v>
      </c>
      <c r="J20" s="35">
        <v>0.91</v>
      </c>
      <c r="K20" s="35">
        <v>0.53</v>
      </c>
      <c r="L20" s="35">
        <v>0.46</v>
      </c>
      <c r="M20" s="35">
        <v>0.34</v>
      </c>
      <c r="N20" s="35">
        <v>0.27</v>
      </c>
      <c r="O20" s="37" t="s">
        <v>217</v>
      </c>
      <c r="P20" s="38" t="s">
        <v>218</v>
      </c>
      <c r="Q20" s="39"/>
    </row>
    <row r="21" spans="1:18" ht="12.75" hidden="1" outlineLevel="1">
      <c r="A21" s="40" t="s">
        <v>219</v>
      </c>
      <c r="B21" s="35">
        <v>32.36</v>
      </c>
      <c r="C21" s="35"/>
      <c r="D21" s="35">
        <v>25.13</v>
      </c>
      <c r="E21" s="35">
        <v>22.6</v>
      </c>
      <c r="F21" s="35">
        <v>22.59</v>
      </c>
      <c r="G21" s="35">
        <v>19.46</v>
      </c>
      <c r="H21" s="35">
        <v>21.63</v>
      </c>
      <c r="I21" s="35">
        <v>17.68</v>
      </c>
      <c r="J21" s="35">
        <v>16.7</v>
      </c>
      <c r="K21" s="35">
        <v>9.23</v>
      </c>
      <c r="L21" s="35">
        <v>8.75</v>
      </c>
      <c r="M21" s="35">
        <v>7.65</v>
      </c>
      <c r="N21" s="36">
        <v>6.99</v>
      </c>
      <c r="O21" s="36">
        <v>6.49</v>
      </c>
      <c r="P21" s="36" t="s">
        <v>220</v>
      </c>
      <c r="Q21" s="41" t="s">
        <v>221</v>
      </c>
      <c r="R21" s="42">
        <f>4.78+0.3</f>
        <v>5.08</v>
      </c>
    </row>
    <row r="22" spans="1:17" ht="63.75" customHeight="1" hidden="1" outlineLevel="1">
      <c r="A22" s="1048" t="s">
        <v>224</v>
      </c>
      <c r="B22" s="1049"/>
      <c r="C22" s="1049"/>
      <c r="D22" s="1049"/>
      <c r="E22" s="1049"/>
      <c r="F22" s="1049"/>
      <c r="G22" s="1049"/>
      <c r="H22" s="1049"/>
      <c r="I22" s="1049"/>
      <c r="J22" s="1049"/>
      <c r="K22" s="1049"/>
      <c r="L22" s="1049"/>
      <c r="M22" s="1049"/>
      <c r="N22" s="1049"/>
      <c r="O22" s="1049"/>
      <c r="P22" s="1049"/>
      <c r="Q22" s="1050"/>
    </row>
    <row r="23" spans="1:17" ht="12.75" customHeight="1" hidden="1" outlineLevel="1">
      <c r="A23" s="1051" t="s">
        <v>222</v>
      </c>
      <c r="B23" s="1052"/>
      <c r="C23" s="1052"/>
      <c r="D23" s="1052"/>
      <c r="E23" s="1052"/>
      <c r="F23" s="1052"/>
      <c r="G23" s="1052"/>
      <c r="H23" s="1052"/>
      <c r="I23" s="1052"/>
      <c r="J23" s="1052"/>
      <c r="K23" s="1052"/>
      <c r="L23" s="1052"/>
      <c r="M23" s="1052"/>
      <c r="N23" s="1052"/>
      <c r="O23" s="1052"/>
      <c r="P23" s="1052"/>
      <c r="Q23" s="1053"/>
    </row>
    <row r="24" ht="12.75" hidden="1" outlineLevel="1">
      <c r="A24" s="23"/>
    </row>
    <row r="25" ht="12.75" hidden="1" outlineLevel="1">
      <c r="A25" s="43" t="s">
        <v>223</v>
      </c>
    </row>
    <row r="26" ht="12.75" collapsed="1"/>
    <row r="30" spans="1:13" ht="12.75">
      <c r="A30" s="91" t="s">
        <v>645</v>
      </c>
      <c r="B30" s="92"/>
      <c r="C30" s="92">
        <v>1998</v>
      </c>
      <c r="D30" s="92">
        <v>1999</v>
      </c>
      <c r="E30" s="92">
        <v>2000</v>
      </c>
      <c r="F30" s="92">
        <v>2001</v>
      </c>
      <c r="G30" s="92">
        <v>2002</v>
      </c>
      <c r="H30" s="92">
        <v>2003</v>
      </c>
      <c r="I30" s="92">
        <v>2004</v>
      </c>
      <c r="J30" s="92">
        <v>2005</v>
      </c>
      <c r="K30" s="92">
        <v>2006</v>
      </c>
      <c r="L30" s="92">
        <v>2007</v>
      </c>
      <c r="M30" s="92">
        <v>2008</v>
      </c>
    </row>
    <row r="31" spans="1:13" ht="12.75">
      <c r="A31" s="178" t="s">
        <v>760</v>
      </c>
      <c r="B31" s="50"/>
      <c r="C31" s="50">
        <v>16.7</v>
      </c>
      <c r="D31" s="50">
        <v>9.23</v>
      </c>
      <c r="E31" s="50">
        <v>8.75</v>
      </c>
      <c r="F31" s="50">
        <v>7.65</v>
      </c>
      <c r="G31" s="50">
        <v>6.99</v>
      </c>
      <c r="H31" s="50">
        <v>6.49</v>
      </c>
      <c r="I31" s="50">
        <v>5.5</v>
      </c>
      <c r="J31" s="50">
        <v>4.85</v>
      </c>
      <c r="K31" s="50">
        <v>4.48</v>
      </c>
      <c r="L31" s="50">
        <v>5.69</v>
      </c>
      <c r="M31" s="50">
        <v>7.67</v>
      </c>
    </row>
    <row r="32" spans="1:13" ht="12.75">
      <c r="A32" s="51" t="s">
        <v>646</v>
      </c>
      <c r="B32" s="52"/>
      <c r="C32" s="52">
        <v>16.7</v>
      </c>
      <c r="D32" s="52">
        <v>9.2</v>
      </c>
      <c r="E32" s="52">
        <v>8.7</v>
      </c>
      <c r="F32" s="52">
        <v>7.7</v>
      </c>
      <c r="G32" s="52">
        <v>7.6</v>
      </c>
      <c r="H32" s="52">
        <v>6.9</v>
      </c>
      <c r="I32" s="52">
        <v>6.49</v>
      </c>
      <c r="J32" s="52">
        <v>5.5</v>
      </c>
      <c r="K32" s="52"/>
      <c r="L32" s="52"/>
      <c r="M32" s="52"/>
    </row>
    <row r="33" spans="1:13" ht="12.75">
      <c r="A33" s="89" t="s">
        <v>647</v>
      </c>
      <c r="B33" s="53"/>
      <c r="C33" s="54">
        <v>15.99999568259054</v>
      </c>
      <c r="D33" s="54">
        <v>10.007665009277055</v>
      </c>
      <c r="E33" s="54">
        <v>9.95770857362553</v>
      </c>
      <c r="F33" s="54">
        <v>8.041958041958042</v>
      </c>
      <c r="G33" s="54">
        <v>7.443365695792881</v>
      </c>
      <c r="H33" s="54">
        <v>7.83132530120482</v>
      </c>
      <c r="I33" s="54">
        <v>6.564245810055866</v>
      </c>
      <c r="J33" s="54">
        <v>6.946264744429882</v>
      </c>
      <c r="K33" s="54">
        <v>6.299019607843137</v>
      </c>
      <c r="L33" s="54">
        <v>6.409960802397971</v>
      </c>
      <c r="M33" s="55"/>
    </row>
    <row r="34" ht="12.75">
      <c r="A34" s="30" t="s">
        <v>761</v>
      </c>
    </row>
  </sheetData>
  <sheetProtection/>
  <mergeCells count="6">
    <mergeCell ref="A22:Q22"/>
    <mergeCell ref="A23:Q23"/>
    <mergeCell ref="A4:Q4"/>
    <mergeCell ref="A5:Q5"/>
    <mergeCell ref="A6:Q6"/>
    <mergeCell ref="B7:Q7"/>
  </mergeCells>
  <hyperlinks>
    <hyperlink ref="A25" r:id="rId1" display="http://www.dane.gov.co/inf_est/ipc.htm"/>
  </hyperlinks>
  <printOptions/>
  <pageMargins left="0.75" right="0.75" top="1" bottom="1" header="0" footer="0"/>
  <pageSetup horizontalDpi="600" verticalDpi="600" orientation="portrait" r:id="rId2"/>
  <headerFooter alignWithMargins="0">
    <oddHeader>&amp;CAnálisis de Costos - Área de Estudios Previos</oddHeader>
    <oddFooter>&amp;L16/02/2010&amp;R0</oddFooter>
  </headerFooter>
</worksheet>
</file>

<file path=xl/worksheets/sheet12.xml><?xml version="1.0" encoding="utf-8"?>
<worksheet xmlns="http://schemas.openxmlformats.org/spreadsheetml/2006/main" xmlns:r="http://schemas.openxmlformats.org/officeDocument/2006/relationships">
  <sheetPr codeName="Hoja10"/>
  <dimension ref="A1:G612"/>
  <sheetViews>
    <sheetView zoomScale="75" zoomScaleNormal="75" zoomScalePageLayoutView="0" workbookViewId="0" topLeftCell="A150">
      <selection activeCell="D78" sqref="D78"/>
    </sheetView>
  </sheetViews>
  <sheetFormatPr defaultColWidth="12" defaultRowHeight="12.75" outlineLevelRow="1"/>
  <cols>
    <col min="1" max="1" width="116.83203125" style="58" customWidth="1"/>
    <col min="2" max="2" width="14.33203125" style="58" customWidth="1"/>
    <col min="3" max="3" width="19.66015625" style="58" customWidth="1"/>
    <col min="4" max="4" width="16.16015625" style="58" bestFit="1" customWidth="1"/>
    <col min="5" max="16384" width="12" style="58" customWidth="1"/>
  </cols>
  <sheetData>
    <row r="1" spans="1:7" ht="27" customHeight="1">
      <c r="A1" s="90" t="s">
        <v>586</v>
      </c>
      <c r="B1" s="57"/>
      <c r="C1" s="75" t="s">
        <v>674</v>
      </c>
      <c r="D1" s="76"/>
      <c r="E1" s="76"/>
      <c r="F1" s="76"/>
      <c r="G1" s="76"/>
    </row>
    <row r="2" spans="1:3" ht="31.5" customHeight="1">
      <c r="A2" s="59" t="s">
        <v>285</v>
      </c>
      <c r="B2" s="60"/>
      <c r="C2" s="60"/>
    </row>
    <row r="3" spans="1:5" ht="19.5" customHeight="1">
      <c r="A3" s="79" t="s">
        <v>286</v>
      </c>
      <c r="B3" s="61"/>
      <c r="C3" s="62"/>
      <c r="D3" s="63"/>
      <c r="E3" s="64"/>
    </row>
    <row r="4" spans="1:2" ht="15" customHeight="1" hidden="1" outlineLevel="1">
      <c r="A4" s="65" t="s">
        <v>287</v>
      </c>
      <c r="B4" s="66">
        <v>4640</v>
      </c>
    </row>
    <row r="5" spans="1:2" ht="15" customHeight="1" hidden="1" outlineLevel="1">
      <c r="A5" s="65" t="s">
        <v>288</v>
      </c>
      <c r="B5" s="66">
        <v>17400</v>
      </c>
    </row>
    <row r="6" spans="1:2" ht="15" customHeight="1" hidden="1" outlineLevel="1">
      <c r="A6" s="65" t="s">
        <v>289</v>
      </c>
      <c r="B6" s="66">
        <v>18560</v>
      </c>
    </row>
    <row r="7" spans="1:2" ht="15" customHeight="1" hidden="1" outlineLevel="1">
      <c r="A7" s="65" t="s">
        <v>290</v>
      </c>
      <c r="B7" s="66">
        <v>25520</v>
      </c>
    </row>
    <row r="8" spans="1:2" ht="15" customHeight="1" hidden="1" outlineLevel="1">
      <c r="A8" s="65" t="s">
        <v>291</v>
      </c>
      <c r="B8" s="66">
        <v>22040</v>
      </c>
    </row>
    <row r="9" spans="1:2" ht="15" customHeight="1" hidden="1" outlineLevel="1">
      <c r="A9" s="65" t="s">
        <v>292</v>
      </c>
      <c r="B9" s="66">
        <v>40600</v>
      </c>
    </row>
    <row r="10" spans="1:2" ht="15" customHeight="1" hidden="1" outlineLevel="1">
      <c r="A10" s="65" t="s">
        <v>293</v>
      </c>
      <c r="B10" s="66">
        <v>45240</v>
      </c>
    </row>
    <row r="11" spans="1:2" ht="15" customHeight="1" hidden="1" outlineLevel="1">
      <c r="A11" s="65" t="s">
        <v>294</v>
      </c>
      <c r="B11" s="66">
        <v>87000</v>
      </c>
    </row>
    <row r="12" spans="1:2" ht="15" customHeight="1" hidden="1" outlineLevel="1">
      <c r="A12" s="65" t="s">
        <v>295</v>
      </c>
      <c r="B12" s="66">
        <v>24360</v>
      </c>
    </row>
    <row r="13" spans="1:2" ht="15" customHeight="1" hidden="1" outlineLevel="1">
      <c r="A13" s="65" t="s">
        <v>296</v>
      </c>
      <c r="B13" s="66">
        <v>27840</v>
      </c>
    </row>
    <row r="14" spans="1:2" ht="15" customHeight="1" hidden="1" outlineLevel="1">
      <c r="A14" s="65" t="s">
        <v>297</v>
      </c>
      <c r="B14" s="66">
        <v>31320</v>
      </c>
    </row>
    <row r="15" spans="1:2" ht="15" customHeight="1" hidden="1" outlineLevel="1">
      <c r="A15" s="65" t="s">
        <v>298</v>
      </c>
      <c r="B15" s="66">
        <v>69600</v>
      </c>
    </row>
    <row r="16" spans="1:2" ht="15" customHeight="1" hidden="1" outlineLevel="1">
      <c r="A16" s="65" t="s">
        <v>299</v>
      </c>
      <c r="B16" s="66">
        <v>58000</v>
      </c>
    </row>
    <row r="17" spans="1:2" ht="15" customHeight="1" hidden="1" outlineLevel="1">
      <c r="A17" s="65" t="s">
        <v>300</v>
      </c>
      <c r="B17" s="66">
        <v>58000</v>
      </c>
    </row>
    <row r="18" spans="1:2" ht="15" customHeight="1" hidden="1" outlineLevel="1">
      <c r="A18" s="65" t="s">
        <v>301</v>
      </c>
      <c r="B18" s="66">
        <v>185600</v>
      </c>
    </row>
    <row r="19" spans="1:2" ht="15" customHeight="1" hidden="1" outlineLevel="1">
      <c r="A19" s="65" t="s">
        <v>302</v>
      </c>
      <c r="B19" s="66">
        <v>34800</v>
      </c>
    </row>
    <row r="20" spans="1:2" ht="15" customHeight="1" hidden="1" outlineLevel="1">
      <c r="A20" s="65" t="s">
        <v>303</v>
      </c>
      <c r="B20" s="66">
        <v>63800</v>
      </c>
    </row>
    <row r="21" spans="1:2" ht="15" customHeight="1" hidden="1" outlineLevel="1">
      <c r="A21" s="65" t="s">
        <v>304</v>
      </c>
      <c r="B21" s="66">
        <v>34800</v>
      </c>
    </row>
    <row r="22" spans="1:2" ht="15" customHeight="1" hidden="1" outlineLevel="1">
      <c r="A22" s="65" t="s">
        <v>305</v>
      </c>
      <c r="B22" s="66">
        <v>24360</v>
      </c>
    </row>
    <row r="23" spans="1:3" ht="19.5" customHeight="1" collapsed="1">
      <c r="A23" s="79" t="s">
        <v>306</v>
      </c>
      <c r="B23" s="61"/>
      <c r="C23" s="67"/>
    </row>
    <row r="24" spans="1:4" ht="15" customHeight="1" hidden="1" outlineLevel="1">
      <c r="A24" s="65" t="s">
        <v>307</v>
      </c>
      <c r="B24" s="66">
        <v>53360</v>
      </c>
      <c r="C24" s="65" t="s">
        <v>307</v>
      </c>
      <c r="D24" s="66">
        <v>53360</v>
      </c>
    </row>
    <row r="25" spans="1:4" ht="15" customHeight="1" hidden="1" outlineLevel="1">
      <c r="A25" s="65" t="s">
        <v>308</v>
      </c>
      <c r="B25" s="66">
        <v>58000</v>
      </c>
      <c r="C25" s="65" t="s">
        <v>310</v>
      </c>
      <c r="D25" s="66">
        <v>34800</v>
      </c>
    </row>
    <row r="26" spans="1:4" ht="15" customHeight="1" hidden="1" outlineLevel="1">
      <c r="A26" s="65" t="s">
        <v>309</v>
      </c>
      <c r="B26" s="66">
        <v>22040</v>
      </c>
      <c r="C26" s="65" t="s">
        <v>293</v>
      </c>
      <c r="D26" s="66">
        <v>45240</v>
      </c>
    </row>
    <row r="27" spans="1:4" ht="15" customHeight="1" hidden="1" outlineLevel="1">
      <c r="A27" s="65" t="s">
        <v>310</v>
      </c>
      <c r="B27" s="66">
        <v>34800</v>
      </c>
      <c r="C27" s="65" t="s">
        <v>296</v>
      </c>
      <c r="D27" s="66">
        <v>27840</v>
      </c>
    </row>
    <row r="28" spans="1:2" ht="15" customHeight="1" hidden="1" outlineLevel="1">
      <c r="A28" s="65" t="s">
        <v>311</v>
      </c>
      <c r="B28" s="66">
        <v>34800</v>
      </c>
    </row>
    <row r="29" spans="1:3" ht="19.5" customHeight="1" collapsed="1">
      <c r="A29" s="79" t="s">
        <v>312</v>
      </c>
      <c r="B29" s="61"/>
      <c r="C29" s="67"/>
    </row>
    <row r="30" spans="1:2" ht="15" customHeight="1" hidden="1" outlineLevel="1">
      <c r="A30" s="65" t="s">
        <v>313</v>
      </c>
      <c r="B30" s="66">
        <v>40600</v>
      </c>
    </row>
    <row r="31" spans="1:2" ht="15" customHeight="1" hidden="1" outlineLevel="1">
      <c r="A31" s="65" t="s">
        <v>314</v>
      </c>
      <c r="B31" s="66">
        <v>40600</v>
      </c>
    </row>
    <row r="32" spans="1:2" ht="15" customHeight="1" hidden="1" outlineLevel="1">
      <c r="A32" s="65" t="s">
        <v>315</v>
      </c>
      <c r="B32" s="66">
        <v>92800</v>
      </c>
    </row>
    <row r="33" spans="1:2" ht="15" customHeight="1" hidden="1" outlineLevel="1">
      <c r="A33" s="65" t="s">
        <v>316</v>
      </c>
      <c r="B33" s="66">
        <v>150800</v>
      </c>
    </row>
    <row r="34" spans="1:2" ht="15" customHeight="1" hidden="1" outlineLevel="1">
      <c r="A34" s="65" t="s">
        <v>317</v>
      </c>
      <c r="B34" s="66">
        <v>371200</v>
      </c>
    </row>
    <row r="35" spans="1:2" ht="15" customHeight="1" hidden="1" outlineLevel="1">
      <c r="A35" s="65" t="s">
        <v>318</v>
      </c>
      <c r="B35" s="68"/>
    </row>
    <row r="36" spans="1:2" ht="15" customHeight="1" hidden="1" outlineLevel="1">
      <c r="A36" s="65" t="s">
        <v>319</v>
      </c>
      <c r="B36" s="68"/>
    </row>
    <row r="37" spans="1:2" ht="15" customHeight="1" hidden="1" outlineLevel="1">
      <c r="A37" s="65" t="s">
        <v>320</v>
      </c>
      <c r="B37" s="66">
        <v>33640</v>
      </c>
    </row>
    <row r="38" spans="1:2" ht="15" customHeight="1" hidden="1" outlineLevel="1">
      <c r="A38" s="65" t="s">
        <v>321</v>
      </c>
      <c r="B38" s="66">
        <v>4640</v>
      </c>
    </row>
    <row r="39" spans="1:2" ht="15" customHeight="1" hidden="1" outlineLevel="1">
      <c r="A39" s="65" t="s">
        <v>322</v>
      </c>
      <c r="B39" s="66">
        <v>77720</v>
      </c>
    </row>
    <row r="40" spans="1:2" ht="15" customHeight="1" hidden="1" outlineLevel="1">
      <c r="A40" s="65" t="s">
        <v>323</v>
      </c>
      <c r="B40" s="66">
        <v>174000</v>
      </c>
    </row>
    <row r="41" spans="1:2" ht="15" customHeight="1" hidden="1" outlineLevel="1">
      <c r="A41" s="65" t="s">
        <v>324</v>
      </c>
      <c r="B41" s="66">
        <v>220400</v>
      </c>
    </row>
    <row r="42" spans="1:2" ht="15" customHeight="1" hidden="1" outlineLevel="1">
      <c r="A42" s="65" t="s">
        <v>325</v>
      </c>
      <c r="B42" s="66">
        <v>249400</v>
      </c>
    </row>
    <row r="43" spans="1:2" ht="15" customHeight="1" hidden="1" outlineLevel="1">
      <c r="A43" s="65" t="s">
        <v>326</v>
      </c>
      <c r="B43" s="66">
        <v>174000</v>
      </c>
    </row>
    <row r="44" spans="1:2" ht="15" customHeight="1" hidden="1" outlineLevel="1">
      <c r="A44" s="65" t="s">
        <v>327</v>
      </c>
      <c r="B44" s="66">
        <v>34800</v>
      </c>
    </row>
    <row r="45" spans="1:3" ht="19.5" customHeight="1" collapsed="1">
      <c r="A45" s="79" t="s">
        <v>328</v>
      </c>
      <c r="B45" s="61"/>
      <c r="C45" s="67"/>
    </row>
    <row r="46" spans="1:2" ht="15" customHeight="1" hidden="1" outlineLevel="1">
      <c r="A46" s="65" t="s">
        <v>329</v>
      </c>
      <c r="B46" s="66">
        <v>243600</v>
      </c>
    </row>
    <row r="47" spans="1:2" ht="15" customHeight="1" hidden="1" outlineLevel="1">
      <c r="A47" s="65" t="s">
        <v>330</v>
      </c>
      <c r="B47" s="66">
        <v>313200</v>
      </c>
    </row>
    <row r="48" spans="1:2" ht="15" customHeight="1" hidden="1" outlineLevel="1">
      <c r="A48" s="65" t="s">
        <v>331</v>
      </c>
      <c r="B48" s="66">
        <v>133400</v>
      </c>
    </row>
    <row r="49" spans="1:2" ht="15" customHeight="1" hidden="1" outlineLevel="1">
      <c r="A49" s="65" t="s">
        <v>332</v>
      </c>
      <c r="B49" s="66">
        <v>58000</v>
      </c>
    </row>
    <row r="50" spans="1:2" ht="15" customHeight="1" hidden="1" outlineLevel="1">
      <c r="A50" s="65" t="s">
        <v>333</v>
      </c>
      <c r="B50" s="66">
        <v>58000</v>
      </c>
    </row>
    <row r="51" spans="1:2" ht="15" customHeight="1" hidden="1" outlineLevel="1">
      <c r="A51" s="65" t="s">
        <v>334</v>
      </c>
      <c r="B51" s="66">
        <v>29000</v>
      </c>
    </row>
    <row r="52" spans="1:3" ht="19.5" customHeight="1" collapsed="1">
      <c r="A52" s="79" t="s">
        <v>335</v>
      </c>
      <c r="B52" s="61"/>
      <c r="C52" s="67"/>
    </row>
    <row r="53" spans="1:2" ht="15" customHeight="1" hidden="1" outlineLevel="1">
      <c r="A53" s="65" t="s">
        <v>336</v>
      </c>
      <c r="B53" s="66">
        <v>75400</v>
      </c>
    </row>
    <row r="54" spans="1:2" ht="15" customHeight="1" hidden="1" outlineLevel="1">
      <c r="A54" s="65" t="s">
        <v>337</v>
      </c>
      <c r="B54" s="66">
        <v>29000</v>
      </c>
    </row>
    <row r="55" spans="1:2" ht="15" customHeight="1" hidden="1" outlineLevel="1">
      <c r="A55" s="65" t="s">
        <v>338</v>
      </c>
      <c r="B55" s="66">
        <v>113680</v>
      </c>
    </row>
    <row r="56" spans="1:2" ht="15" customHeight="1" hidden="1" outlineLevel="1">
      <c r="A56" s="65" t="s">
        <v>339</v>
      </c>
      <c r="B56" s="66">
        <v>92800</v>
      </c>
    </row>
    <row r="57" spans="1:2" ht="15" customHeight="1" hidden="1" outlineLevel="1">
      <c r="A57" s="65" t="s">
        <v>340</v>
      </c>
      <c r="B57" s="66">
        <v>16240</v>
      </c>
    </row>
    <row r="58" spans="1:3" ht="19.5" customHeight="1" collapsed="1">
      <c r="A58" s="79" t="s">
        <v>341</v>
      </c>
      <c r="B58" s="61"/>
      <c r="C58" s="67"/>
    </row>
    <row r="59" spans="1:2" ht="15" customHeight="1" hidden="1" outlineLevel="1">
      <c r="A59" s="65" t="s">
        <v>342</v>
      </c>
      <c r="B59" s="66">
        <v>522000</v>
      </c>
    </row>
    <row r="60" spans="1:2" ht="15" customHeight="1" hidden="1" outlineLevel="1">
      <c r="A60" s="65" t="s">
        <v>343</v>
      </c>
      <c r="B60" s="66">
        <v>678600</v>
      </c>
    </row>
    <row r="61" spans="1:2" ht="15" customHeight="1" hidden="1" outlineLevel="1">
      <c r="A61" s="65" t="s">
        <v>344</v>
      </c>
      <c r="B61" s="66">
        <v>309720</v>
      </c>
    </row>
    <row r="62" spans="1:2" ht="15" customHeight="1" hidden="1" outlineLevel="1">
      <c r="A62" s="65" t="s">
        <v>345</v>
      </c>
      <c r="B62" s="66">
        <v>34800</v>
      </c>
    </row>
    <row r="63" spans="1:2" ht="15" customHeight="1" hidden="1" outlineLevel="1">
      <c r="A63" s="65" t="s">
        <v>346</v>
      </c>
      <c r="B63" s="66">
        <v>13920</v>
      </c>
    </row>
    <row r="64" spans="1:2" ht="15" customHeight="1" hidden="1" outlineLevel="1">
      <c r="A64" s="65" t="s">
        <v>347</v>
      </c>
      <c r="B64" s="68"/>
    </row>
    <row r="65" spans="1:2" ht="15" customHeight="1" hidden="1" outlineLevel="1">
      <c r="A65" s="65" t="s">
        <v>348</v>
      </c>
      <c r="B65" s="68"/>
    </row>
    <row r="66" spans="1:3" ht="19.5" customHeight="1" collapsed="1">
      <c r="A66" s="79" t="s">
        <v>349</v>
      </c>
      <c r="B66" s="61"/>
      <c r="C66" s="67"/>
    </row>
    <row r="67" spans="1:2" ht="15" customHeight="1" hidden="1" outlineLevel="1">
      <c r="A67" s="65" t="s">
        <v>350</v>
      </c>
      <c r="B67" s="66">
        <v>39440</v>
      </c>
    </row>
    <row r="68" spans="1:2" ht="15" customHeight="1" hidden="1" outlineLevel="1">
      <c r="A68" s="65" t="s">
        <v>351</v>
      </c>
      <c r="B68" s="66">
        <v>45240</v>
      </c>
    </row>
    <row r="69" spans="1:2" ht="15" customHeight="1" hidden="1" outlineLevel="1">
      <c r="A69" s="65" t="s">
        <v>352</v>
      </c>
      <c r="B69" s="68"/>
    </row>
    <row r="70" spans="1:2" ht="15" customHeight="1" hidden="1" outlineLevel="1">
      <c r="A70" s="65" t="s">
        <v>353</v>
      </c>
      <c r="B70" s="66">
        <v>53360</v>
      </c>
    </row>
    <row r="71" spans="1:2" ht="15" customHeight="1" hidden="1" outlineLevel="1">
      <c r="A71" s="65" t="s">
        <v>354</v>
      </c>
      <c r="B71" s="66">
        <v>61480</v>
      </c>
    </row>
    <row r="72" spans="1:2" ht="15" customHeight="1" hidden="1" outlineLevel="1">
      <c r="A72" s="65" t="s">
        <v>355</v>
      </c>
      <c r="B72" s="66">
        <v>76560</v>
      </c>
    </row>
    <row r="73" spans="1:2" ht="15" customHeight="1" hidden="1" outlineLevel="1">
      <c r="A73" s="65" t="s">
        <v>356</v>
      </c>
      <c r="B73" s="66">
        <v>61480</v>
      </c>
    </row>
    <row r="74" spans="1:2" ht="15" customHeight="1" hidden="1" outlineLevel="1">
      <c r="A74" s="65" t="s">
        <v>357</v>
      </c>
      <c r="B74" s="66">
        <v>76560</v>
      </c>
    </row>
    <row r="75" spans="1:2" ht="15" customHeight="1" hidden="1" outlineLevel="1">
      <c r="A75" s="65" t="s">
        <v>358</v>
      </c>
      <c r="B75" s="66">
        <v>96280</v>
      </c>
    </row>
    <row r="76" spans="1:2" ht="15" customHeight="1" hidden="1" outlineLevel="1">
      <c r="A76" s="65" t="s">
        <v>359</v>
      </c>
      <c r="B76" s="66">
        <v>59160</v>
      </c>
    </row>
    <row r="77" spans="1:2" ht="15" customHeight="1" hidden="1" outlineLevel="1">
      <c r="A77" s="65" t="s">
        <v>648</v>
      </c>
      <c r="B77" s="66">
        <v>126440</v>
      </c>
    </row>
    <row r="78" spans="1:3" ht="31.5" customHeight="1" collapsed="1">
      <c r="A78" s="59" t="s">
        <v>360</v>
      </c>
      <c r="B78" s="60"/>
      <c r="C78" s="60"/>
    </row>
    <row r="79" spans="1:3" ht="19.5" customHeight="1">
      <c r="A79" s="79" t="s">
        <v>361</v>
      </c>
      <c r="B79" s="61"/>
      <c r="C79" s="67"/>
    </row>
    <row r="80" spans="1:2" ht="15" customHeight="1" hidden="1" outlineLevel="1">
      <c r="A80" s="65" t="s">
        <v>362</v>
      </c>
      <c r="B80" s="66">
        <v>29000</v>
      </c>
    </row>
    <row r="81" spans="1:2" ht="15" customHeight="1" hidden="1" outlineLevel="1">
      <c r="A81" s="65" t="s">
        <v>363</v>
      </c>
      <c r="B81" s="66">
        <v>68440</v>
      </c>
    </row>
    <row r="82" spans="1:2" ht="15" customHeight="1" hidden="1" outlineLevel="1">
      <c r="A82" s="65" t="s">
        <v>364</v>
      </c>
      <c r="B82" s="66">
        <v>68440</v>
      </c>
    </row>
    <row r="83" spans="1:2" ht="15" customHeight="1" hidden="1" outlineLevel="1">
      <c r="A83" s="65" t="s">
        <v>365</v>
      </c>
      <c r="B83" s="66">
        <v>81200</v>
      </c>
    </row>
    <row r="84" spans="1:2" ht="15" customHeight="1" hidden="1" outlineLevel="1">
      <c r="A84" s="65" t="s">
        <v>366</v>
      </c>
      <c r="B84" s="66">
        <v>81200</v>
      </c>
    </row>
    <row r="85" spans="1:2" ht="15" customHeight="1" hidden="1" outlineLevel="1">
      <c r="A85" s="65" t="s">
        <v>367</v>
      </c>
      <c r="B85" s="66">
        <v>45240</v>
      </c>
    </row>
    <row r="86" spans="1:2" ht="15" customHeight="1" hidden="1" outlineLevel="1">
      <c r="A86" s="65" t="s">
        <v>368</v>
      </c>
      <c r="B86" s="66">
        <v>56840</v>
      </c>
    </row>
    <row r="87" spans="1:2" ht="15" customHeight="1" hidden="1" outlineLevel="1">
      <c r="A87" s="65" t="s">
        <v>369</v>
      </c>
      <c r="B87" s="66">
        <v>174000</v>
      </c>
    </row>
    <row r="88" spans="1:2" ht="15" customHeight="1" hidden="1" outlineLevel="1">
      <c r="A88" s="65" t="s">
        <v>370</v>
      </c>
      <c r="B88" s="66">
        <v>153120</v>
      </c>
    </row>
    <row r="89" spans="1:2" ht="15" customHeight="1" hidden="1" outlineLevel="1">
      <c r="A89" s="65" t="s">
        <v>371</v>
      </c>
      <c r="B89" s="66">
        <v>319000</v>
      </c>
    </row>
    <row r="90" spans="1:2" ht="15" customHeight="1" hidden="1" outlineLevel="1">
      <c r="A90" s="65" t="s">
        <v>372</v>
      </c>
      <c r="B90" s="66">
        <v>237800</v>
      </c>
    </row>
    <row r="91" spans="1:3" ht="19.5" customHeight="1" collapsed="1">
      <c r="A91" s="79" t="s">
        <v>373</v>
      </c>
      <c r="B91" s="61"/>
      <c r="C91" s="67"/>
    </row>
    <row r="92" spans="1:2" ht="15" customHeight="1" hidden="1" outlineLevel="1">
      <c r="A92" s="65" t="s">
        <v>374</v>
      </c>
      <c r="B92" s="66">
        <v>77720</v>
      </c>
    </row>
    <row r="93" spans="1:2" ht="15" customHeight="1" hidden="1" outlineLevel="1">
      <c r="A93" s="65" t="s">
        <v>375</v>
      </c>
      <c r="B93" s="66">
        <v>68440</v>
      </c>
    </row>
    <row r="94" spans="1:2" ht="15" customHeight="1" hidden="1" outlineLevel="1">
      <c r="A94" s="65" t="s">
        <v>376</v>
      </c>
      <c r="B94" s="66">
        <v>15080</v>
      </c>
    </row>
    <row r="95" spans="1:2" ht="15" customHeight="1" hidden="1" outlineLevel="1">
      <c r="A95" s="65" t="s">
        <v>377</v>
      </c>
      <c r="B95" s="66">
        <v>22040</v>
      </c>
    </row>
    <row r="96" spans="1:2" ht="15" customHeight="1" hidden="1" outlineLevel="1">
      <c r="A96" s="65" t="s">
        <v>378</v>
      </c>
      <c r="B96" s="66">
        <v>27840</v>
      </c>
    </row>
    <row r="97" spans="1:2" ht="15" customHeight="1" hidden="1" outlineLevel="1">
      <c r="A97" s="65" t="s">
        <v>379</v>
      </c>
      <c r="B97" s="66">
        <v>17400</v>
      </c>
    </row>
    <row r="98" spans="1:2" ht="15" customHeight="1" hidden="1" outlineLevel="1">
      <c r="A98" s="65" t="s">
        <v>380</v>
      </c>
      <c r="B98" s="66">
        <v>49880</v>
      </c>
    </row>
    <row r="99" spans="1:2" ht="15" customHeight="1" hidden="1" outlineLevel="1">
      <c r="A99" s="65" t="s">
        <v>381</v>
      </c>
      <c r="B99" s="66">
        <v>56840</v>
      </c>
    </row>
    <row r="100" spans="1:2" ht="15" customHeight="1" hidden="1" outlineLevel="1">
      <c r="A100" s="65" t="s">
        <v>382</v>
      </c>
      <c r="B100" s="66">
        <v>60320</v>
      </c>
    </row>
    <row r="101" spans="1:2" ht="15" customHeight="1" hidden="1" outlineLevel="1">
      <c r="A101" s="65" t="s">
        <v>383</v>
      </c>
      <c r="B101" s="66">
        <v>42920</v>
      </c>
    </row>
    <row r="102" spans="1:2" ht="15" customHeight="1" hidden="1" outlineLevel="1">
      <c r="A102" s="65" t="s">
        <v>302</v>
      </c>
      <c r="B102" s="66">
        <v>53360</v>
      </c>
    </row>
    <row r="103" spans="1:2" ht="15" customHeight="1" hidden="1" outlineLevel="1">
      <c r="A103" s="65" t="s">
        <v>303</v>
      </c>
      <c r="B103" s="66">
        <v>44080</v>
      </c>
    </row>
    <row r="104" spans="1:2" ht="15" customHeight="1" hidden="1" outlineLevel="1">
      <c r="A104" s="65" t="s">
        <v>384</v>
      </c>
      <c r="B104" s="66">
        <v>139200</v>
      </c>
    </row>
    <row r="105" spans="1:2" ht="15" customHeight="1" hidden="1" outlineLevel="1">
      <c r="A105" s="65" t="s">
        <v>385</v>
      </c>
      <c r="B105" s="66">
        <v>32480</v>
      </c>
    </row>
    <row r="106" spans="1:2" ht="15" customHeight="1" hidden="1" outlineLevel="1">
      <c r="A106" s="65" t="s">
        <v>386</v>
      </c>
      <c r="B106" s="66">
        <v>25520</v>
      </c>
    </row>
    <row r="107" spans="1:2" ht="15" customHeight="1" hidden="1" outlineLevel="1">
      <c r="A107" s="65" t="s">
        <v>387</v>
      </c>
      <c r="B107" s="66">
        <v>635680</v>
      </c>
    </row>
    <row r="108" spans="1:2" ht="15" customHeight="1" hidden="1" outlineLevel="1">
      <c r="A108" s="65" t="s">
        <v>388</v>
      </c>
      <c r="B108" s="66">
        <v>549840</v>
      </c>
    </row>
    <row r="109" spans="1:2" ht="15" customHeight="1" hidden="1" outlineLevel="1">
      <c r="A109" s="65" t="s">
        <v>389</v>
      </c>
      <c r="B109" s="66">
        <v>496480</v>
      </c>
    </row>
    <row r="110" spans="1:2" ht="15" customHeight="1" hidden="1" outlineLevel="1">
      <c r="A110" s="65" t="s">
        <v>390</v>
      </c>
      <c r="B110" s="66">
        <v>777200</v>
      </c>
    </row>
    <row r="111" spans="1:2" ht="15" customHeight="1" hidden="1" outlineLevel="1">
      <c r="A111" s="65" t="s">
        <v>391</v>
      </c>
      <c r="B111" s="66">
        <v>397880</v>
      </c>
    </row>
    <row r="112" spans="1:2" ht="15" customHeight="1" hidden="1" outlineLevel="1">
      <c r="A112" s="65" t="s">
        <v>392</v>
      </c>
      <c r="B112" s="66">
        <v>1020800</v>
      </c>
    </row>
    <row r="113" spans="1:2" ht="15" customHeight="1" hidden="1" outlineLevel="1">
      <c r="A113" s="65" t="s">
        <v>393</v>
      </c>
      <c r="B113" s="66">
        <v>1392000</v>
      </c>
    </row>
    <row r="114" spans="1:2" ht="15" customHeight="1" hidden="1" outlineLevel="1">
      <c r="A114" s="65" t="s">
        <v>394</v>
      </c>
      <c r="B114" s="66">
        <v>116000</v>
      </c>
    </row>
    <row r="115" spans="1:2" ht="15" customHeight="1" hidden="1" outlineLevel="1">
      <c r="A115" s="65" t="s">
        <v>395</v>
      </c>
      <c r="B115" s="66">
        <v>185600</v>
      </c>
    </row>
    <row r="116" spans="1:3" ht="31.5" customHeight="1" collapsed="1">
      <c r="A116" s="59" t="s">
        <v>396</v>
      </c>
      <c r="B116" s="60"/>
      <c r="C116" s="60"/>
    </row>
    <row r="117" spans="1:2" ht="15" customHeight="1" hidden="1" outlineLevel="1">
      <c r="A117" s="65" t="s">
        <v>397</v>
      </c>
      <c r="B117" s="66">
        <v>49880</v>
      </c>
    </row>
    <row r="118" spans="1:2" ht="15" customHeight="1" hidden="1" outlineLevel="1">
      <c r="A118" s="65" t="s">
        <v>398</v>
      </c>
      <c r="B118" s="66">
        <v>34800</v>
      </c>
    </row>
    <row r="119" spans="1:2" ht="15" customHeight="1" hidden="1" outlineLevel="1">
      <c r="A119" s="65" t="s">
        <v>399</v>
      </c>
      <c r="B119" s="66">
        <v>34800</v>
      </c>
    </row>
    <row r="120" spans="1:2" ht="15" customHeight="1" hidden="1" outlineLevel="1">
      <c r="A120" s="65" t="s">
        <v>400</v>
      </c>
      <c r="B120" s="66">
        <v>34800</v>
      </c>
    </row>
    <row r="121" spans="1:2" ht="15" customHeight="1" hidden="1" outlineLevel="1">
      <c r="A121" s="65" t="s">
        <v>401</v>
      </c>
      <c r="B121" s="66">
        <v>42920</v>
      </c>
    </row>
    <row r="122" spans="1:2" ht="15" customHeight="1" hidden="1" outlineLevel="1">
      <c r="A122" s="65" t="s">
        <v>402</v>
      </c>
      <c r="B122" s="68"/>
    </row>
    <row r="123" spans="1:2" ht="15" customHeight="1" hidden="1" outlineLevel="1">
      <c r="A123" s="65" t="s">
        <v>403</v>
      </c>
      <c r="B123" s="66">
        <v>290000</v>
      </c>
    </row>
    <row r="124" spans="1:2" ht="15" customHeight="1" hidden="1" outlineLevel="1">
      <c r="A124" s="65" t="s">
        <v>404</v>
      </c>
      <c r="B124" s="66">
        <v>196040</v>
      </c>
    </row>
    <row r="125" spans="1:2" ht="15" customHeight="1" hidden="1" outlineLevel="1">
      <c r="A125" s="65" t="s">
        <v>405</v>
      </c>
      <c r="B125" s="66">
        <v>6960</v>
      </c>
    </row>
    <row r="126" spans="1:2" ht="15" customHeight="1" hidden="1" outlineLevel="1">
      <c r="A126" s="65" t="s">
        <v>406</v>
      </c>
      <c r="B126" s="66">
        <v>6960</v>
      </c>
    </row>
    <row r="127" spans="1:2" ht="15" customHeight="1" hidden="1" outlineLevel="1">
      <c r="A127" s="65" t="s">
        <v>407</v>
      </c>
      <c r="B127" s="66">
        <v>4176</v>
      </c>
    </row>
    <row r="128" spans="1:2" ht="15" customHeight="1" hidden="1" outlineLevel="1">
      <c r="A128" s="65" t="s">
        <v>408</v>
      </c>
      <c r="B128" s="66">
        <v>4176</v>
      </c>
    </row>
    <row r="129" spans="1:3" ht="31.5" customHeight="1" collapsed="1">
      <c r="A129" s="59" t="s">
        <v>409</v>
      </c>
      <c r="B129" s="60"/>
      <c r="C129" s="60"/>
    </row>
    <row r="130" spans="1:3" ht="19.5" customHeight="1">
      <c r="A130" s="79" t="s">
        <v>410</v>
      </c>
      <c r="B130" s="61"/>
      <c r="C130" s="67"/>
    </row>
    <row r="131" spans="1:2" ht="15" customHeight="1" hidden="1" outlineLevel="1">
      <c r="A131" s="65" t="s">
        <v>411</v>
      </c>
      <c r="B131" s="66">
        <v>34800</v>
      </c>
    </row>
    <row r="132" spans="1:2" ht="15" customHeight="1" hidden="1" outlineLevel="1">
      <c r="A132" s="65" t="s">
        <v>412</v>
      </c>
      <c r="B132" s="66">
        <v>40600</v>
      </c>
    </row>
    <row r="133" spans="1:2" ht="15" customHeight="1" hidden="1" outlineLevel="1">
      <c r="A133" s="65" t="s">
        <v>413</v>
      </c>
      <c r="B133" s="66">
        <v>40600</v>
      </c>
    </row>
    <row r="134" spans="1:2" ht="15" customHeight="1" hidden="1" outlineLevel="1">
      <c r="A134" s="65" t="s">
        <v>414</v>
      </c>
      <c r="B134" s="66">
        <v>16240</v>
      </c>
    </row>
    <row r="135" spans="1:2" ht="15" customHeight="1" hidden="1" outlineLevel="1">
      <c r="A135" s="65" t="s">
        <v>415</v>
      </c>
      <c r="B135" s="66">
        <v>16240</v>
      </c>
    </row>
    <row r="136" spans="1:2" ht="15" customHeight="1" hidden="1" outlineLevel="1">
      <c r="A136" s="65" t="s">
        <v>416</v>
      </c>
      <c r="B136" s="66">
        <v>313200</v>
      </c>
    </row>
    <row r="137" spans="1:2" ht="15" customHeight="1" hidden="1" outlineLevel="1">
      <c r="A137" s="65" t="s">
        <v>417</v>
      </c>
      <c r="B137" s="66">
        <v>46400</v>
      </c>
    </row>
    <row r="138" spans="1:2" ht="15" customHeight="1" hidden="1" outlineLevel="1">
      <c r="A138" s="65" t="s">
        <v>418</v>
      </c>
      <c r="B138" s="66">
        <v>23200</v>
      </c>
    </row>
    <row r="139" spans="1:2" ht="15" customHeight="1" hidden="1" outlineLevel="1">
      <c r="A139" s="65" t="s">
        <v>419</v>
      </c>
      <c r="B139" s="66">
        <v>232000</v>
      </c>
    </row>
    <row r="140" spans="1:2" ht="15" customHeight="1" hidden="1" outlineLevel="1">
      <c r="A140" s="65" t="s">
        <v>420</v>
      </c>
      <c r="B140" s="66">
        <v>185600</v>
      </c>
    </row>
    <row r="141" spans="1:2" ht="15" customHeight="1" hidden="1" outlineLevel="1">
      <c r="A141" s="65" t="s">
        <v>421</v>
      </c>
      <c r="B141" s="66">
        <v>220400</v>
      </c>
    </row>
    <row r="142" spans="1:2" ht="15" customHeight="1" hidden="1" outlineLevel="1">
      <c r="A142" s="65" t="s">
        <v>422</v>
      </c>
      <c r="B142" s="66">
        <v>29000</v>
      </c>
    </row>
    <row r="143" spans="1:2" ht="15" customHeight="1" hidden="1" outlineLevel="1">
      <c r="A143" s="65" t="s">
        <v>423</v>
      </c>
      <c r="B143" s="66">
        <v>177480</v>
      </c>
    </row>
    <row r="144" spans="1:3" ht="19.5" customHeight="1" collapsed="1">
      <c r="A144" s="79" t="s">
        <v>424</v>
      </c>
      <c r="B144" s="61"/>
      <c r="C144" s="67"/>
    </row>
    <row r="145" spans="1:2" ht="15" customHeight="1" hidden="1" outlineLevel="1">
      <c r="A145" s="65" t="s">
        <v>425</v>
      </c>
      <c r="B145" s="66">
        <v>27840</v>
      </c>
    </row>
    <row r="146" spans="1:2" ht="15" customHeight="1" hidden="1" outlineLevel="1">
      <c r="A146" s="65" t="s">
        <v>426</v>
      </c>
      <c r="B146" s="66">
        <v>62640</v>
      </c>
    </row>
    <row r="147" spans="1:2" ht="15" customHeight="1" hidden="1" outlineLevel="1">
      <c r="A147" s="65" t="s">
        <v>427</v>
      </c>
      <c r="B147" s="66">
        <v>95120</v>
      </c>
    </row>
    <row r="148" spans="1:2" ht="15" customHeight="1" hidden="1" outlineLevel="1">
      <c r="A148" s="65" t="s">
        <v>428</v>
      </c>
      <c r="B148" s="66">
        <v>417600</v>
      </c>
    </row>
    <row r="149" spans="1:2" ht="15" customHeight="1" hidden="1" outlineLevel="1">
      <c r="A149" s="65" t="s">
        <v>429</v>
      </c>
      <c r="B149" s="66">
        <v>194880</v>
      </c>
    </row>
    <row r="150" spans="1:3" ht="19.5" customHeight="1" collapsed="1">
      <c r="A150" s="79" t="s">
        <v>430</v>
      </c>
      <c r="B150" s="61"/>
      <c r="C150" s="67"/>
    </row>
    <row r="151" spans="1:2" ht="15" customHeight="1" hidden="1" outlineLevel="1">
      <c r="A151" s="65" t="s">
        <v>431</v>
      </c>
      <c r="B151" s="66">
        <v>371200</v>
      </c>
    </row>
    <row r="152" spans="1:2" ht="15" customHeight="1" hidden="1" outlineLevel="1">
      <c r="A152" s="65" t="s">
        <v>432</v>
      </c>
      <c r="B152" s="66">
        <v>440800</v>
      </c>
    </row>
    <row r="153" spans="1:2" ht="15" customHeight="1" hidden="1" outlineLevel="1">
      <c r="A153" s="65" t="s">
        <v>433</v>
      </c>
      <c r="B153" s="66">
        <v>185600</v>
      </c>
    </row>
    <row r="154" spans="1:3" ht="19.5" customHeight="1" collapsed="1">
      <c r="A154" s="79" t="s">
        <v>434</v>
      </c>
      <c r="B154" s="61"/>
      <c r="C154" s="67"/>
    </row>
    <row r="155" spans="1:2" ht="15" customHeight="1" hidden="1" outlineLevel="1">
      <c r="A155" s="65" t="s">
        <v>435</v>
      </c>
      <c r="B155" s="66">
        <v>4176</v>
      </c>
    </row>
    <row r="156" spans="1:2" ht="15" customHeight="1" hidden="1" outlineLevel="1">
      <c r="A156" s="65" t="s">
        <v>436</v>
      </c>
      <c r="B156" s="66">
        <v>60320</v>
      </c>
    </row>
    <row r="157" spans="1:2" ht="15" customHeight="1" hidden="1" outlineLevel="1">
      <c r="A157" s="65" t="s">
        <v>437</v>
      </c>
      <c r="B157" s="66">
        <v>26680</v>
      </c>
    </row>
    <row r="158" spans="1:2" ht="15" customHeight="1" hidden="1" outlineLevel="1">
      <c r="A158" s="65" t="s">
        <v>438</v>
      </c>
      <c r="B158" s="66">
        <v>104400</v>
      </c>
    </row>
    <row r="159" spans="1:2" ht="15" customHeight="1" hidden="1" outlineLevel="1">
      <c r="A159" s="65" t="s">
        <v>439</v>
      </c>
      <c r="B159" s="66">
        <v>24360</v>
      </c>
    </row>
    <row r="160" spans="1:3" ht="31.5" customHeight="1" collapsed="1">
      <c r="A160" s="59" t="s">
        <v>440</v>
      </c>
      <c r="B160" s="60"/>
      <c r="C160" s="60"/>
    </row>
    <row r="161" spans="1:3" ht="19.5" customHeight="1">
      <c r="A161" s="79" t="s">
        <v>441</v>
      </c>
      <c r="B161" s="61"/>
      <c r="C161" s="67"/>
    </row>
    <row r="162" spans="1:2" ht="15" customHeight="1" hidden="1" outlineLevel="1">
      <c r="A162" s="65" t="s">
        <v>442</v>
      </c>
      <c r="B162" s="66">
        <v>374680</v>
      </c>
    </row>
    <row r="163" spans="1:2" ht="15" customHeight="1" hidden="1" outlineLevel="1">
      <c r="A163" s="65" t="s">
        <v>443</v>
      </c>
      <c r="B163" s="66">
        <v>211120</v>
      </c>
    </row>
    <row r="164" spans="1:2" ht="15" customHeight="1" hidden="1" outlineLevel="1">
      <c r="A164" s="65" t="s">
        <v>444</v>
      </c>
      <c r="B164" s="66">
        <v>185600</v>
      </c>
    </row>
    <row r="165" spans="1:2" ht="15" customHeight="1" hidden="1" outlineLevel="1">
      <c r="A165" s="65" t="s">
        <v>445</v>
      </c>
      <c r="B165" s="66">
        <v>132240</v>
      </c>
    </row>
    <row r="166" spans="1:2" ht="15" customHeight="1" hidden="1" outlineLevel="1">
      <c r="A166" s="65" t="s">
        <v>446</v>
      </c>
      <c r="B166" s="66">
        <v>116000</v>
      </c>
    </row>
    <row r="167" spans="1:2" ht="15" customHeight="1" hidden="1" outlineLevel="1">
      <c r="A167" s="65" t="s">
        <v>447</v>
      </c>
      <c r="B167" s="66">
        <v>107880</v>
      </c>
    </row>
    <row r="168" spans="1:2" ht="15" customHeight="1" hidden="1" outlineLevel="1">
      <c r="A168" s="65" t="s">
        <v>448</v>
      </c>
      <c r="B168" s="66">
        <v>87000</v>
      </c>
    </row>
    <row r="169" spans="1:2" ht="15" customHeight="1" hidden="1" outlineLevel="1">
      <c r="A169" s="65" t="s">
        <v>449</v>
      </c>
      <c r="B169" s="66">
        <v>25520</v>
      </c>
    </row>
    <row r="170" spans="1:2" ht="15" customHeight="1" hidden="1" outlineLevel="1">
      <c r="A170" s="65" t="s">
        <v>450</v>
      </c>
      <c r="B170" s="66">
        <v>33640</v>
      </c>
    </row>
    <row r="171" spans="1:2" ht="15" customHeight="1" hidden="1" outlineLevel="1">
      <c r="A171" s="65" t="s">
        <v>451</v>
      </c>
      <c r="B171" s="66">
        <v>35960</v>
      </c>
    </row>
    <row r="172" spans="1:2" ht="15" customHeight="1" hidden="1" outlineLevel="1">
      <c r="A172" s="65" t="s">
        <v>452</v>
      </c>
      <c r="B172" s="66">
        <v>15080</v>
      </c>
    </row>
    <row r="173" spans="1:2" ht="15" customHeight="1" hidden="1" outlineLevel="1">
      <c r="A173" s="65" t="s">
        <v>453</v>
      </c>
      <c r="B173" s="66">
        <v>22040</v>
      </c>
    </row>
    <row r="174" spans="1:2" ht="15" customHeight="1" hidden="1" outlineLevel="1">
      <c r="A174" s="65" t="s">
        <v>454</v>
      </c>
      <c r="B174" s="66">
        <v>81200</v>
      </c>
    </row>
    <row r="175" spans="1:3" ht="19.5" customHeight="1" collapsed="1">
      <c r="A175" s="79" t="s">
        <v>455</v>
      </c>
      <c r="B175" s="61"/>
      <c r="C175" s="67"/>
    </row>
    <row r="176" spans="1:2" ht="15" customHeight="1" hidden="1" outlineLevel="1">
      <c r="A176" s="65" t="s">
        <v>456</v>
      </c>
      <c r="B176" s="66">
        <v>0</v>
      </c>
    </row>
    <row r="177" spans="1:2" ht="15" customHeight="1" hidden="1" outlineLevel="1">
      <c r="A177" s="65" t="s">
        <v>457</v>
      </c>
      <c r="B177" s="66">
        <v>4640</v>
      </c>
    </row>
    <row r="178" spans="1:2" ht="15" customHeight="1" hidden="1" outlineLevel="1">
      <c r="A178" s="65" t="s">
        <v>458</v>
      </c>
      <c r="B178" s="66">
        <v>5800</v>
      </c>
    </row>
    <row r="179" spans="1:2" ht="15" customHeight="1" hidden="1" outlineLevel="1">
      <c r="A179" s="65" t="s">
        <v>459</v>
      </c>
      <c r="B179" s="66">
        <v>8120</v>
      </c>
    </row>
    <row r="180" spans="1:2" ht="15" customHeight="1" hidden="1" outlineLevel="1">
      <c r="A180" s="65" t="s">
        <v>460</v>
      </c>
      <c r="B180" s="66">
        <v>9280</v>
      </c>
    </row>
    <row r="181" spans="1:2" ht="15" customHeight="1" hidden="1" outlineLevel="1">
      <c r="A181" s="65" t="s">
        <v>461</v>
      </c>
      <c r="B181" s="66">
        <v>10440</v>
      </c>
    </row>
    <row r="182" spans="1:3" ht="19.5" customHeight="1" collapsed="1">
      <c r="A182" s="79" t="s">
        <v>462</v>
      </c>
      <c r="B182" s="61"/>
      <c r="C182" s="67"/>
    </row>
    <row r="183" spans="1:2" ht="15" customHeight="1" hidden="1" outlineLevel="1">
      <c r="A183" s="65" t="s">
        <v>463</v>
      </c>
      <c r="B183" s="66">
        <v>71920</v>
      </c>
    </row>
    <row r="184" spans="1:2" ht="15" customHeight="1" hidden="1" outlineLevel="1">
      <c r="A184" s="65" t="s">
        <v>464</v>
      </c>
      <c r="B184" s="68"/>
    </row>
    <row r="185" spans="1:2" ht="15" customHeight="1" hidden="1" outlineLevel="1">
      <c r="A185" s="65" t="s">
        <v>465</v>
      </c>
      <c r="B185" s="66">
        <v>85840</v>
      </c>
    </row>
    <row r="186" spans="1:2" ht="15" customHeight="1" hidden="1" outlineLevel="1">
      <c r="A186" s="65" t="s">
        <v>466</v>
      </c>
      <c r="B186" s="66">
        <v>53360</v>
      </c>
    </row>
    <row r="187" spans="1:2" ht="15" customHeight="1" hidden="1" outlineLevel="1">
      <c r="A187" s="65" t="s">
        <v>467</v>
      </c>
      <c r="B187" s="66">
        <v>34800</v>
      </c>
    </row>
    <row r="188" spans="1:2" ht="15" customHeight="1" hidden="1" outlineLevel="1">
      <c r="A188" s="65" t="s">
        <v>468</v>
      </c>
      <c r="B188" s="68"/>
    </row>
    <row r="189" spans="1:3" ht="31.5" customHeight="1" collapsed="1">
      <c r="A189" s="59" t="s">
        <v>469</v>
      </c>
      <c r="B189" s="60"/>
      <c r="C189" s="60"/>
    </row>
    <row r="190" spans="1:3" ht="19.5" customHeight="1">
      <c r="A190" s="79" t="s">
        <v>470</v>
      </c>
      <c r="B190" s="61"/>
      <c r="C190" s="67"/>
    </row>
    <row r="191" spans="1:2" ht="15" customHeight="1" hidden="1" outlineLevel="1">
      <c r="A191" s="65" t="s">
        <v>471</v>
      </c>
      <c r="B191" s="66">
        <v>17400</v>
      </c>
    </row>
    <row r="192" spans="1:2" ht="15" customHeight="1" hidden="1" outlineLevel="1">
      <c r="A192" s="65" t="s">
        <v>472</v>
      </c>
      <c r="B192" s="66">
        <v>20880</v>
      </c>
    </row>
    <row r="193" spans="1:2" ht="15" customHeight="1" hidden="1" outlineLevel="1">
      <c r="A193" s="65" t="s">
        <v>473</v>
      </c>
      <c r="B193" s="66">
        <v>38280</v>
      </c>
    </row>
    <row r="194" spans="1:2" ht="15" customHeight="1" hidden="1" outlineLevel="1">
      <c r="A194" s="65" t="s">
        <v>474</v>
      </c>
      <c r="B194" s="66">
        <v>60320</v>
      </c>
    </row>
    <row r="195" spans="1:2" ht="15" customHeight="1" hidden="1" outlineLevel="1">
      <c r="A195" s="65" t="s">
        <v>475</v>
      </c>
      <c r="B195" s="66">
        <v>85840</v>
      </c>
    </row>
    <row r="196" spans="1:2" ht="15" customHeight="1" hidden="1" outlineLevel="1">
      <c r="A196" s="65" t="s">
        <v>476</v>
      </c>
      <c r="B196" s="66">
        <v>19720</v>
      </c>
    </row>
    <row r="197" spans="1:2" ht="15" customHeight="1" hidden="1" outlineLevel="1">
      <c r="A197" s="65" t="s">
        <v>477</v>
      </c>
      <c r="B197" s="66">
        <v>17400</v>
      </c>
    </row>
    <row r="198" spans="1:2" ht="15" customHeight="1" hidden="1" outlineLevel="1">
      <c r="A198" s="65" t="s">
        <v>478</v>
      </c>
      <c r="B198" s="66">
        <v>17400</v>
      </c>
    </row>
    <row r="199" spans="1:2" ht="15" customHeight="1" hidden="1" outlineLevel="1">
      <c r="A199" s="65" t="s">
        <v>479</v>
      </c>
      <c r="B199" s="66">
        <v>32480</v>
      </c>
    </row>
    <row r="200" spans="1:2" ht="15" customHeight="1" hidden="1" outlineLevel="1">
      <c r="A200" s="65" t="s">
        <v>480</v>
      </c>
      <c r="B200" s="66">
        <v>30160</v>
      </c>
    </row>
    <row r="201" spans="1:2" ht="15" customHeight="1" hidden="1" outlineLevel="1">
      <c r="A201" s="65" t="s">
        <v>481</v>
      </c>
      <c r="B201" s="66">
        <v>19720</v>
      </c>
    </row>
    <row r="202" spans="1:2" ht="15" customHeight="1" hidden="1" outlineLevel="1">
      <c r="A202" s="65" t="s">
        <v>482</v>
      </c>
      <c r="B202" s="66">
        <v>48720</v>
      </c>
    </row>
    <row r="203" spans="1:2" ht="15" customHeight="1" hidden="1" outlineLevel="1">
      <c r="A203" s="65" t="s">
        <v>483</v>
      </c>
      <c r="B203" s="66">
        <v>19720</v>
      </c>
    </row>
    <row r="204" spans="1:3" ht="19.5" customHeight="1" collapsed="1">
      <c r="A204" s="79" t="s">
        <v>484</v>
      </c>
      <c r="B204" s="61"/>
      <c r="C204" s="67"/>
    </row>
    <row r="205" spans="1:2" ht="15" customHeight="1" hidden="1" outlineLevel="1">
      <c r="A205" s="65" t="s">
        <v>485</v>
      </c>
      <c r="B205" s="66">
        <v>66120</v>
      </c>
    </row>
    <row r="206" spans="1:2" ht="15" customHeight="1" hidden="1" outlineLevel="1">
      <c r="A206" s="65" t="s">
        <v>486</v>
      </c>
      <c r="B206" s="66">
        <v>44080</v>
      </c>
    </row>
    <row r="207" spans="1:2" ht="15" customHeight="1" hidden="1" outlineLevel="1">
      <c r="A207" s="65" t="s">
        <v>487</v>
      </c>
      <c r="B207" s="66">
        <v>24360</v>
      </c>
    </row>
    <row r="208" spans="1:2" ht="15" customHeight="1" hidden="1" outlineLevel="1">
      <c r="A208" s="65" t="s">
        <v>488</v>
      </c>
      <c r="B208" s="66">
        <v>8120</v>
      </c>
    </row>
    <row r="209" spans="1:2" ht="15" customHeight="1" hidden="1" outlineLevel="1">
      <c r="A209" s="65" t="s">
        <v>489</v>
      </c>
      <c r="B209" s="66">
        <v>25520</v>
      </c>
    </row>
    <row r="210" spans="1:2" ht="15" customHeight="1" hidden="1" outlineLevel="1">
      <c r="A210" s="65" t="s">
        <v>490</v>
      </c>
      <c r="B210" s="66">
        <v>46400</v>
      </c>
    </row>
    <row r="211" spans="1:2" ht="15" customHeight="1" hidden="1" outlineLevel="1">
      <c r="A211" s="65" t="s">
        <v>491</v>
      </c>
      <c r="B211" s="66">
        <v>30160</v>
      </c>
    </row>
    <row r="212" spans="1:3" ht="19.5" customHeight="1" collapsed="1">
      <c r="A212" s="79" t="s">
        <v>492</v>
      </c>
      <c r="B212" s="61"/>
      <c r="C212" s="67"/>
    </row>
    <row r="213" spans="1:2" ht="15" customHeight="1" hidden="1" outlineLevel="1">
      <c r="A213" s="65" t="s">
        <v>493</v>
      </c>
      <c r="B213" s="66">
        <v>127600</v>
      </c>
    </row>
    <row r="214" spans="1:2" ht="15" customHeight="1" hidden="1" outlineLevel="1">
      <c r="A214" s="65" t="s">
        <v>494</v>
      </c>
      <c r="B214" s="68"/>
    </row>
    <row r="215" spans="1:2" ht="15" customHeight="1" hidden="1" outlineLevel="1">
      <c r="A215" s="65" t="s">
        <v>495</v>
      </c>
      <c r="B215" s="66">
        <v>46400</v>
      </c>
    </row>
    <row r="216" spans="1:2" ht="15" customHeight="1" hidden="1" outlineLevel="1">
      <c r="A216" s="65" t="s">
        <v>496</v>
      </c>
      <c r="B216" s="66">
        <v>121800</v>
      </c>
    </row>
    <row r="217" spans="1:2" ht="15" customHeight="1" hidden="1" outlineLevel="1">
      <c r="A217" s="65" t="s">
        <v>497</v>
      </c>
      <c r="B217" s="66">
        <v>143840</v>
      </c>
    </row>
    <row r="218" spans="1:2" ht="15" customHeight="1" hidden="1" outlineLevel="1">
      <c r="A218" s="65" t="s">
        <v>498</v>
      </c>
      <c r="B218" s="66">
        <v>107880</v>
      </c>
    </row>
    <row r="219" spans="1:2" ht="15" customHeight="1" hidden="1" outlineLevel="1">
      <c r="A219" s="65" t="s">
        <v>499</v>
      </c>
      <c r="B219" s="66">
        <v>80040</v>
      </c>
    </row>
    <row r="220" spans="1:2" ht="15" customHeight="1" hidden="1" outlineLevel="1">
      <c r="A220" s="65" t="s">
        <v>500</v>
      </c>
      <c r="B220" s="66">
        <v>19720</v>
      </c>
    </row>
    <row r="221" spans="1:2" ht="15" customHeight="1" hidden="1" outlineLevel="1">
      <c r="A221" s="65" t="s">
        <v>501</v>
      </c>
      <c r="B221" s="66">
        <v>928000</v>
      </c>
    </row>
    <row r="222" spans="1:2" ht="15" customHeight="1" hidden="1" outlineLevel="1">
      <c r="A222" s="65" t="s">
        <v>502</v>
      </c>
      <c r="B222" s="66">
        <v>1624000</v>
      </c>
    </row>
    <row r="223" spans="1:2" ht="15" customHeight="1" hidden="1" outlineLevel="1">
      <c r="A223" s="65" t="s">
        <v>503</v>
      </c>
      <c r="B223" s="68"/>
    </row>
    <row r="224" spans="1:3" ht="31.5" customHeight="1" collapsed="1">
      <c r="A224" s="59" t="s">
        <v>504</v>
      </c>
      <c r="B224" s="60"/>
      <c r="C224" s="60"/>
    </row>
    <row r="225" spans="1:3" ht="19.5" customHeight="1">
      <c r="A225" s="79" t="s">
        <v>505</v>
      </c>
      <c r="B225" s="61"/>
      <c r="C225" s="67"/>
    </row>
    <row r="226" spans="1:2" ht="15" customHeight="1" hidden="1" outlineLevel="1">
      <c r="A226" s="65" t="s">
        <v>649</v>
      </c>
      <c r="B226" s="66">
        <v>92800</v>
      </c>
    </row>
    <row r="227" spans="1:2" ht="15" customHeight="1" hidden="1" outlineLevel="1">
      <c r="A227" s="65" t="s">
        <v>506</v>
      </c>
      <c r="B227" s="66">
        <v>109040</v>
      </c>
    </row>
    <row r="228" spans="1:2" ht="15" customHeight="1" hidden="1" outlineLevel="1">
      <c r="A228" s="65" t="s">
        <v>507</v>
      </c>
      <c r="B228" s="66">
        <v>150800</v>
      </c>
    </row>
    <row r="229" spans="1:2" ht="15" customHeight="1" hidden="1" outlineLevel="1">
      <c r="A229" s="65" t="s">
        <v>508</v>
      </c>
      <c r="B229" s="66">
        <v>52200</v>
      </c>
    </row>
    <row r="230" spans="1:2" ht="15" customHeight="1" hidden="1" outlineLevel="1">
      <c r="A230" s="65" t="s">
        <v>650</v>
      </c>
      <c r="B230" s="66">
        <v>81200</v>
      </c>
    </row>
    <row r="231" spans="1:2" ht="15" customHeight="1" hidden="1" outlineLevel="1">
      <c r="A231" s="65" t="s">
        <v>509</v>
      </c>
      <c r="B231" s="66">
        <v>27840</v>
      </c>
    </row>
    <row r="232" spans="1:2" ht="15" customHeight="1" hidden="1" outlineLevel="1">
      <c r="A232" s="65" t="s">
        <v>510</v>
      </c>
      <c r="B232" s="66">
        <v>29000</v>
      </c>
    </row>
    <row r="233" spans="1:2" ht="15" customHeight="1" hidden="1" outlineLevel="1">
      <c r="A233" s="65" t="s">
        <v>511</v>
      </c>
      <c r="B233" s="66">
        <v>81200</v>
      </c>
    </row>
    <row r="234" spans="1:2" ht="15" customHeight="1" hidden="1" outlineLevel="1">
      <c r="A234" s="65" t="s">
        <v>512</v>
      </c>
      <c r="B234" s="66">
        <v>87000</v>
      </c>
    </row>
    <row r="235" spans="1:2" ht="15" customHeight="1" hidden="1" outlineLevel="1">
      <c r="A235" s="65" t="s">
        <v>513</v>
      </c>
      <c r="B235" s="66">
        <v>69600</v>
      </c>
    </row>
    <row r="236" spans="1:3" ht="19.5" customHeight="1" collapsed="1">
      <c r="A236" s="79" t="s">
        <v>514</v>
      </c>
      <c r="B236" s="61"/>
      <c r="C236" s="67"/>
    </row>
    <row r="237" spans="1:2" ht="15" customHeight="1" hidden="1" outlineLevel="1">
      <c r="A237" s="65" t="s">
        <v>515</v>
      </c>
      <c r="B237" s="68"/>
    </row>
    <row r="238" spans="1:2" ht="15" customHeight="1" hidden="1" outlineLevel="1">
      <c r="A238" s="65" t="s">
        <v>516</v>
      </c>
      <c r="B238" s="66">
        <v>13920</v>
      </c>
    </row>
    <row r="239" spans="1:2" ht="15" customHeight="1" hidden="1" outlineLevel="1">
      <c r="A239" s="65" t="s">
        <v>517</v>
      </c>
      <c r="B239" s="66">
        <v>29000</v>
      </c>
    </row>
    <row r="240" spans="1:2" ht="15" customHeight="1" hidden="1" outlineLevel="1">
      <c r="A240" s="65" t="s">
        <v>518</v>
      </c>
      <c r="B240" s="66">
        <v>17400</v>
      </c>
    </row>
    <row r="241" spans="1:2" ht="15" customHeight="1" hidden="1" outlineLevel="1">
      <c r="A241" s="65" t="s">
        <v>519</v>
      </c>
      <c r="B241" s="66">
        <v>11600</v>
      </c>
    </row>
    <row r="242" spans="1:2" ht="15" customHeight="1" hidden="1" outlineLevel="1">
      <c r="A242" s="65" t="s">
        <v>520</v>
      </c>
      <c r="B242" s="68"/>
    </row>
    <row r="243" spans="1:2" ht="15" customHeight="1" hidden="1" outlineLevel="1">
      <c r="A243" s="65" t="s">
        <v>521</v>
      </c>
      <c r="B243" s="66">
        <v>34800</v>
      </c>
    </row>
    <row r="244" spans="1:2" ht="15" customHeight="1" hidden="1" outlineLevel="1">
      <c r="A244" s="65" t="s">
        <v>522</v>
      </c>
      <c r="B244" s="66">
        <v>81200</v>
      </c>
    </row>
    <row r="245" spans="1:2" ht="15" customHeight="1" hidden="1" outlineLevel="1">
      <c r="A245" s="65" t="s">
        <v>523</v>
      </c>
      <c r="B245" s="66">
        <v>4640</v>
      </c>
    </row>
    <row r="246" spans="1:2" ht="15" customHeight="1" hidden="1" outlineLevel="1">
      <c r="A246" s="65" t="s">
        <v>524</v>
      </c>
      <c r="B246" s="66">
        <v>52200</v>
      </c>
    </row>
    <row r="247" spans="1:2" ht="15" customHeight="1" hidden="1" outlineLevel="1">
      <c r="A247" s="65" t="s">
        <v>525</v>
      </c>
      <c r="B247" s="66">
        <v>81200</v>
      </c>
    </row>
    <row r="248" spans="1:2" ht="15" customHeight="1" hidden="1" outlineLevel="1">
      <c r="A248" s="65" t="s">
        <v>526</v>
      </c>
      <c r="B248" s="66">
        <v>52200</v>
      </c>
    </row>
    <row r="249" spans="1:2" ht="15" customHeight="1" hidden="1" outlineLevel="1">
      <c r="A249" s="65" t="s">
        <v>527</v>
      </c>
      <c r="B249" s="66">
        <v>53360</v>
      </c>
    </row>
    <row r="250" spans="1:2" ht="15" customHeight="1" hidden="1" outlineLevel="1">
      <c r="A250" s="65" t="s">
        <v>528</v>
      </c>
      <c r="B250" s="66">
        <v>45240</v>
      </c>
    </row>
    <row r="251" spans="1:2" ht="15" customHeight="1" hidden="1" outlineLevel="1">
      <c r="A251" s="65" t="s">
        <v>529</v>
      </c>
      <c r="B251" s="66">
        <v>2784</v>
      </c>
    </row>
    <row r="252" spans="1:2" ht="15" customHeight="1" hidden="1" outlineLevel="1">
      <c r="A252" s="65" t="s">
        <v>530</v>
      </c>
      <c r="B252" s="66">
        <v>29000</v>
      </c>
    </row>
    <row r="253" spans="1:2" ht="15" customHeight="1" hidden="1" outlineLevel="1">
      <c r="A253" s="65" t="s">
        <v>531</v>
      </c>
      <c r="B253" s="68"/>
    </row>
    <row r="254" spans="1:2" ht="15" customHeight="1" hidden="1" outlineLevel="1">
      <c r="A254" s="65" t="s">
        <v>532</v>
      </c>
      <c r="B254" s="68"/>
    </row>
    <row r="255" spans="1:2" ht="15" customHeight="1" hidden="1" outlineLevel="1">
      <c r="A255" s="65" t="s">
        <v>533</v>
      </c>
      <c r="B255" s="66">
        <v>29000</v>
      </c>
    </row>
    <row r="256" spans="1:2" ht="15" customHeight="1" hidden="1" outlineLevel="1">
      <c r="A256" s="65" t="s">
        <v>534</v>
      </c>
      <c r="B256" s="66">
        <v>23200</v>
      </c>
    </row>
    <row r="257" spans="1:2" ht="15" customHeight="1" hidden="1" outlineLevel="1">
      <c r="A257" s="65" t="s">
        <v>535</v>
      </c>
      <c r="B257" s="66">
        <v>34800</v>
      </c>
    </row>
    <row r="258" spans="1:2" ht="15" customHeight="1" hidden="1" outlineLevel="1">
      <c r="A258" s="65" t="s">
        <v>536</v>
      </c>
      <c r="B258" s="66">
        <v>69600</v>
      </c>
    </row>
    <row r="259" spans="1:2" ht="15" customHeight="1" hidden="1" outlineLevel="1">
      <c r="A259" s="65" t="s">
        <v>537</v>
      </c>
      <c r="B259" s="66">
        <v>232000</v>
      </c>
    </row>
    <row r="260" spans="1:2" ht="15" customHeight="1" hidden="1" outlineLevel="1">
      <c r="A260" s="65" t="s">
        <v>538</v>
      </c>
      <c r="B260" s="66">
        <v>34800</v>
      </c>
    </row>
    <row r="261" spans="1:2" ht="15" customHeight="1" hidden="1" outlineLevel="1">
      <c r="A261" s="65" t="s">
        <v>539</v>
      </c>
      <c r="B261" s="66">
        <v>17400</v>
      </c>
    </row>
    <row r="262" spans="1:2" ht="15" customHeight="1" hidden="1" outlineLevel="1">
      <c r="A262" s="65" t="s">
        <v>540</v>
      </c>
      <c r="B262" s="66">
        <v>23200</v>
      </c>
    </row>
    <row r="263" spans="1:3" ht="31.5" customHeight="1" collapsed="1">
      <c r="A263" s="59" t="s">
        <v>541</v>
      </c>
      <c r="B263" s="60"/>
      <c r="C263" s="60"/>
    </row>
    <row r="264" spans="1:2" ht="15" customHeight="1" hidden="1" outlineLevel="1">
      <c r="A264" s="65" t="s">
        <v>542</v>
      </c>
      <c r="B264" s="66">
        <v>580</v>
      </c>
    </row>
    <row r="265" spans="1:2" ht="15" customHeight="1" hidden="1" outlineLevel="1">
      <c r="A265" s="65" t="s">
        <v>543</v>
      </c>
      <c r="B265" s="66">
        <v>1856</v>
      </c>
    </row>
    <row r="266" spans="1:2" ht="15" customHeight="1" hidden="1" outlineLevel="1">
      <c r="A266" s="65" t="s">
        <v>544</v>
      </c>
      <c r="B266" s="66">
        <v>580</v>
      </c>
    </row>
    <row r="267" spans="1:2" ht="15" customHeight="1" hidden="1" outlineLevel="1">
      <c r="A267" s="65" t="s">
        <v>545</v>
      </c>
      <c r="B267" s="66">
        <v>1508</v>
      </c>
    </row>
    <row r="268" spans="1:2" ht="15" customHeight="1" hidden="1" outlineLevel="1">
      <c r="A268" s="65" t="s">
        <v>546</v>
      </c>
      <c r="B268" s="66">
        <v>84680</v>
      </c>
    </row>
    <row r="269" spans="1:2" ht="15" customHeight="1" hidden="1" outlineLevel="1">
      <c r="A269" s="65" t="s">
        <v>547</v>
      </c>
      <c r="B269" s="66">
        <v>77720</v>
      </c>
    </row>
    <row r="270" spans="1:2" ht="15" customHeight="1" hidden="1" outlineLevel="1">
      <c r="A270" s="65" t="s">
        <v>548</v>
      </c>
      <c r="B270" s="66">
        <v>49880</v>
      </c>
    </row>
    <row r="271" spans="1:2" ht="15" customHeight="1" hidden="1" outlineLevel="1">
      <c r="A271" s="65" t="s">
        <v>549</v>
      </c>
      <c r="B271" s="66">
        <v>84680</v>
      </c>
    </row>
    <row r="272" spans="1:2" ht="15" customHeight="1" hidden="1" outlineLevel="1">
      <c r="A272" s="65" t="s">
        <v>550</v>
      </c>
      <c r="B272" s="66">
        <v>12760</v>
      </c>
    </row>
    <row r="273" spans="1:2" ht="15" customHeight="1" hidden="1" outlineLevel="1">
      <c r="A273" s="65" t="s">
        <v>551</v>
      </c>
      <c r="B273" s="66">
        <v>17400</v>
      </c>
    </row>
    <row r="274" spans="1:2" ht="15" customHeight="1" hidden="1" outlineLevel="1">
      <c r="A274" s="65" t="s">
        <v>552</v>
      </c>
      <c r="B274" s="66">
        <v>3132</v>
      </c>
    </row>
    <row r="275" spans="1:2" ht="15" customHeight="1" hidden="1" outlineLevel="1">
      <c r="A275" s="65" t="s">
        <v>553</v>
      </c>
      <c r="B275" s="68"/>
    </row>
    <row r="276" spans="1:2" ht="15" customHeight="1" hidden="1" outlineLevel="1">
      <c r="A276" s="65" t="s">
        <v>554</v>
      </c>
      <c r="B276" s="68"/>
    </row>
    <row r="277" spans="1:2" ht="15" customHeight="1" hidden="1" outlineLevel="1">
      <c r="A277" s="65" t="s">
        <v>555</v>
      </c>
      <c r="B277" s="68"/>
    </row>
    <row r="278" spans="1:2" ht="15" customHeight="1" hidden="1" outlineLevel="1">
      <c r="A278" s="65" t="s">
        <v>556</v>
      </c>
      <c r="B278" s="68"/>
    </row>
    <row r="279" spans="1:2" ht="15" customHeight="1" hidden="1" outlineLevel="1">
      <c r="A279" s="65" t="s">
        <v>557</v>
      </c>
      <c r="B279" s="68"/>
    </row>
    <row r="280" spans="1:2" ht="15" customHeight="1" hidden="1" outlineLevel="1">
      <c r="A280" s="65" t="s">
        <v>558</v>
      </c>
      <c r="B280" s="68"/>
    </row>
    <row r="281" spans="1:3" s="69" customFormat="1" ht="31.5" customHeight="1" collapsed="1">
      <c r="A281" s="90" t="s">
        <v>587</v>
      </c>
      <c r="B281" s="56"/>
      <c r="C281" s="56"/>
    </row>
    <row r="282" spans="1:3" ht="31.5" customHeight="1">
      <c r="A282" s="59" t="s">
        <v>651</v>
      </c>
      <c r="B282" s="60"/>
      <c r="C282" s="60"/>
    </row>
    <row r="283" spans="1:2" s="69" customFormat="1" ht="15" customHeight="1" hidden="1" outlineLevel="1">
      <c r="A283" s="70" t="s">
        <v>559</v>
      </c>
      <c r="B283" s="71">
        <v>436160</v>
      </c>
    </row>
    <row r="284" spans="1:2" s="69" customFormat="1" ht="15" customHeight="1" hidden="1" outlineLevel="1">
      <c r="A284" s="70" t="s">
        <v>560</v>
      </c>
      <c r="B284" s="71">
        <v>436160</v>
      </c>
    </row>
    <row r="285" spans="1:2" s="69" customFormat="1" ht="15" customHeight="1" hidden="1" outlineLevel="1">
      <c r="A285" s="70" t="s">
        <v>561</v>
      </c>
      <c r="B285" s="71">
        <v>461680</v>
      </c>
    </row>
    <row r="286" spans="1:2" s="69" customFormat="1" ht="15" customHeight="1" hidden="1" outlineLevel="1">
      <c r="A286" s="70" t="s">
        <v>562</v>
      </c>
      <c r="B286" s="71">
        <v>482560</v>
      </c>
    </row>
    <row r="287" spans="1:2" s="69" customFormat="1" ht="15" customHeight="1" hidden="1" outlineLevel="1">
      <c r="A287" s="70" t="s">
        <v>563</v>
      </c>
      <c r="B287" s="71">
        <v>527800</v>
      </c>
    </row>
    <row r="288" spans="1:2" s="69" customFormat="1" ht="15" customHeight="1" hidden="1" outlineLevel="1">
      <c r="A288" s="70" t="s">
        <v>564</v>
      </c>
      <c r="B288" s="71">
        <v>643800</v>
      </c>
    </row>
    <row r="289" spans="1:2" s="69" customFormat="1" ht="15" customHeight="1" hidden="1" outlineLevel="1">
      <c r="A289" s="70" t="s">
        <v>565</v>
      </c>
      <c r="B289" s="71">
        <v>696000</v>
      </c>
    </row>
    <row r="290" spans="1:2" s="69" customFormat="1" ht="15" customHeight="1" hidden="1" outlineLevel="1">
      <c r="A290" s="70" t="s">
        <v>566</v>
      </c>
      <c r="B290" s="71">
        <v>696000</v>
      </c>
    </row>
    <row r="291" spans="1:2" s="69" customFormat="1" ht="15" customHeight="1" hidden="1" outlineLevel="1">
      <c r="A291" s="70" t="s">
        <v>567</v>
      </c>
      <c r="B291" s="71">
        <v>872320</v>
      </c>
    </row>
    <row r="292" spans="1:2" s="69" customFormat="1" ht="15" customHeight="1" hidden="1" outlineLevel="1">
      <c r="A292" s="70" t="s">
        <v>568</v>
      </c>
      <c r="B292" s="71">
        <v>1004560</v>
      </c>
    </row>
    <row r="293" spans="1:3" ht="31.5" customHeight="1" collapsed="1">
      <c r="A293" s="59" t="s">
        <v>569</v>
      </c>
      <c r="B293" s="60"/>
      <c r="C293" s="60"/>
    </row>
    <row r="294" spans="1:2" s="69" customFormat="1" ht="15" customHeight="1" hidden="1" outlineLevel="1">
      <c r="A294" s="72" t="s">
        <v>570</v>
      </c>
      <c r="B294" s="71">
        <v>290000</v>
      </c>
    </row>
    <row r="295" spans="1:2" s="69" customFormat="1" ht="15" customHeight="1" hidden="1" outlineLevel="1">
      <c r="A295" s="70" t="s">
        <v>571</v>
      </c>
      <c r="B295" s="71">
        <v>290000</v>
      </c>
    </row>
    <row r="296" spans="1:2" s="69" customFormat="1" ht="15" customHeight="1" hidden="1" outlineLevel="1">
      <c r="A296" s="70" t="s">
        <v>572</v>
      </c>
      <c r="B296" s="71">
        <v>290000</v>
      </c>
    </row>
    <row r="297" spans="1:2" s="69" customFormat="1" ht="15" customHeight="1" hidden="1" outlineLevel="1">
      <c r="A297" s="70" t="s">
        <v>573</v>
      </c>
      <c r="B297" s="71">
        <v>290000</v>
      </c>
    </row>
    <row r="298" spans="1:2" s="69" customFormat="1" ht="15" customHeight="1" hidden="1" outlineLevel="1">
      <c r="A298" s="70" t="s">
        <v>574</v>
      </c>
      <c r="B298" s="71">
        <v>290000</v>
      </c>
    </row>
    <row r="299" spans="1:2" s="69" customFormat="1" ht="15" customHeight="1" hidden="1" outlineLevel="1">
      <c r="A299" s="70" t="s">
        <v>575</v>
      </c>
      <c r="B299" s="71">
        <v>290000</v>
      </c>
    </row>
    <row r="300" spans="1:2" s="69" customFormat="1" ht="15" customHeight="1" hidden="1" outlineLevel="1">
      <c r="A300" s="70" t="s">
        <v>576</v>
      </c>
      <c r="B300" s="71">
        <v>290000</v>
      </c>
    </row>
    <row r="301" spans="1:2" s="69" customFormat="1" ht="15" customHeight="1" hidden="1" outlineLevel="1">
      <c r="A301" s="70" t="s">
        <v>577</v>
      </c>
      <c r="B301" s="71">
        <v>290000</v>
      </c>
    </row>
    <row r="302" spans="1:2" s="69" customFormat="1" ht="15" customHeight="1" hidden="1" outlineLevel="1">
      <c r="A302" s="70" t="s">
        <v>578</v>
      </c>
      <c r="B302" s="71">
        <v>290000</v>
      </c>
    </row>
    <row r="303" spans="1:2" s="69" customFormat="1" ht="15" customHeight="1" hidden="1" outlineLevel="1">
      <c r="A303" s="70" t="s">
        <v>579</v>
      </c>
      <c r="B303" s="71">
        <v>290000</v>
      </c>
    </row>
    <row r="304" spans="1:2" s="69" customFormat="1" ht="15" customHeight="1" hidden="1" outlineLevel="1">
      <c r="A304" s="70" t="s">
        <v>580</v>
      </c>
      <c r="B304" s="71">
        <v>290000</v>
      </c>
    </row>
    <row r="305" spans="1:2" s="69" customFormat="1" ht="15" customHeight="1" hidden="1" outlineLevel="1">
      <c r="A305" s="70" t="s">
        <v>581</v>
      </c>
      <c r="B305" s="71">
        <v>348000</v>
      </c>
    </row>
    <row r="306" spans="1:2" s="69" customFormat="1" ht="15" customHeight="1" hidden="1" outlineLevel="1">
      <c r="A306" s="70" t="s">
        <v>582</v>
      </c>
      <c r="B306" s="71">
        <v>406000</v>
      </c>
    </row>
    <row r="307" spans="1:2" s="69" customFormat="1" ht="15" customHeight="1" hidden="1" outlineLevel="1">
      <c r="A307" s="70" t="s">
        <v>583</v>
      </c>
      <c r="B307" s="71">
        <v>38280</v>
      </c>
    </row>
    <row r="308" spans="1:2" s="69" customFormat="1" ht="15" customHeight="1" hidden="1" outlineLevel="1">
      <c r="A308" s="70" t="s">
        <v>584</v>
      </c>
      <c r="B308" s="71">
        <v>63800</v>
      </c>
    </row>
    <row r="309" spans="1:2" s="69" customFormat="1" ht="15" customHeight="1" hidden="1" outlineLevel="1">
      <c r="A309" s="69" t="s">
        <v>585</v>
      </c>
      <c r="B309" s="73"/>
    </row>
    <row r="310" spans="1:3" ht="12.75" collapsed="1">
      <c r="A310" s="74"/>
      <c r="B310" s="74"/>
      <c r="C310" s="74"/>
    </row>
    <row r="311" spans="1:3" ht="12.75">
      <c r="A311" s="74"/>
      <c r="B311" s="74"/>
      <c r="C311" s="74"/>
    </row>
    <row r="312" spans="1:3" ht="12.75">
      <c r="A312" s="74"/>
      <c r="B312" s="74"/>
      <c r="C312" s="74"/>
    </row>
    <row r="313" spans="1:3" ht="12.75">
      <c r="A313" s="74"/>
      <c r="B313" s="74"/>
      <c r="C313" s="74"/>
    </row>
    <row r="314" spans="1:3" ht="12.75">
      <c r="A314" s="74"/>
      <c r="B314" s="74"/>
      <c r="C314" s="74"/>
    </row>
    <row r="315" spans="1:3" ht="12.75">
      <c r="A315" s="74"/>
      <c r="B315" s="74"/>
      <c r="C315" s="74"/>
    </row>
    <row r="316" spans="1:3" ht="12.75">
      <c r="A316" s="74"/>
      <c r="B316" s="74"/>
      <c r="C316" s="74"/>
    </row>
    <row r="317" spans="1:3" ht="12.75">
      <c r="A317" s="74"/>
      <c r="B317" s="74"/>
      <c r="C317" s="74"/>
    </row>
    <row r="318" spans="1:3" ht="12.75">
      <c r="A318" s="74"/>
      <c r="B318" s="74"/>
      <c r="C318" s="74"/>
    </row>
    <row r="319" spans="1:3" ht="12.75">
      <c r="A319" s="74"/>
      <c r="B319" s="74"/>
      <c r="C319" s="74"/>
    </row>
    <row r="320" spans="1:3" ht="12.75">
      <c r="A320" s="74"/>
      <c r="B320" s="74"/>
      <c r="C320" s="74"/>
    </row>
    <row r="321" spans="1:3" ht="12.75">
      <c r="A321" s="74"/>
      <c r="B321" s="74"/>
      <c r="C321" s="74"/>
    </row>
    <row r="322" spans="1:3" ht="12.75">
      <c r="A322" s="74"/>
      <c r="B322" s="74"/>
      <c r="C322" s="74"/>
    </row>
    <row r="323" spans="1:3" ht="12.75">
      <c r="A323" s="74"/>
      <c r="B323" s="74"/>
      <c r="C323" s="74"/>
    </row>
    <row r="324" spans="1:3" ht="12.75">
      <c r="A324" s="74"/>
      <c r="B324" s="74"/>
      <c r="C324" s="74"/>
    </row>
    <row r="325" spans="1:3" ht="12.75">
      <c r="A325" s="74"/>
      <c r="B325" s="74"/>
      <c r="C325" s="74"/>
    </row>
    <row r="326" spans="1:3" ht="12.75">
      <c r="A326" s="74"/>
      <c r="B326" s="74"/>
      <c r="C326" s="74"/>
    </row>
    <row r="327" spans="1:3" ht="12.75">
      <c r="A327" s="74"/>
      <c r="B327" s="74"/>
      <c r="C327" s="74"/>
    </row>
    <row r="328" spans="1:3" ht="12.75">
      <c r="A328" s="74"/>
      <c r="B328" s="74"/>
      <c r="C328" s="74"/>
    </row>
    <row r="329" spans="1:3" ht="12.75">
      <c r="A329" s="74"/>
      <c r="B329" s="74"/>
      <c r="C329" s="74"/>
    </row>
    <row r="330" spans="1:3" ht="12.75">
      <c r="A330" s="74"/>
      <c r="B330" s="74"/>
      <c r="C330" s="74"/>
    </row>
    <row r="331" spans="1:3" ht="12.75">
      <c r="A331" s="74"/>
      <c r="B331" s="74"/>
      <c r="C331" s="74"/>
    </row>
    <row r="332" spans="1:3" ht="12.75">
      <c r="A332" s="74"/>
      <c r="B332" s="74"/>
      <c r="C332" s="74"/>
    </row>
    <row r="333" spans="1:3" ht="12.75">
      <c r="A333" s="74"/>
      <c r="B333" s="74"/>
      <c r="C333" s="74"/>
    </row>
    <row r="334" spans="1:3" ht="12.75">
      <c r="A334" s="74"/>
      <c r="B334" s="74"/>
      <c r="C334" s="74"/>
    </row>
    <row r="335" spans="1:3" ht="12.75">
      <c r="A335" s="74"/>
      <c r="B335" s="74"/>
      <c r="C335" s="74"/>
    </row>
    <row r="336" spans="1:3" ht="12.75">
      <c r="A336" s="74"/>
      <c r="B336" s="74"/>
      <c r="C336" s="74"/>
    </row>
    <row r="337" spans="1:3" ht="12.75">
      <c r="A337" s="74"/>
      <c r="B337" s="74"/>
      <c r="C337" s="74"/>
    </row>
    <row r="338" spans="1:3" ht="12.75">
      <c r="A338" s="74"/>
      <c r="B338" s="74"/>
      <c r="C338" s="74"/>
    </row>
    <row r="339" spans="1:3" ht="12.75">
      <c r="A339" s="74"/>
      <c r="B339" s="74"/>
      <c r="C339" s="74"/>
    </row>
    <row r="340" spans="1:3" ht="12.75">
      <c r="A340" s="74"/>
      <c r="B340" s="74"/>
      <c r="C340" s="74"/>
    </row>
    <row r="341" spans="1:3" ht="12.75">
      <c r="A341" s="74"/>
      <c r="B341" s="74"/>
      <c r="C341" s="74"/>
    </row>
    <row r="342" spans="1:3" ht="12.75">
      <c r="A342" s="74"/>
      <c r="B342" s="74"/>
      <c r="C342" s="74"/>
    </row>
    <row r="343" spans="1:3" ht="12.75">
      <c r="A343" s="74"/>
      <c r="B343" s="74"/>
      <c r="C343" s="74"/>
    </row>
    <row r="344" spans="1:3" ht="12.75">
      <c r="A344" s="74"/>
      <c r="B344" s="74"/>
      <c r="C344" s="74"/>
    </row>
    <row r="345" spans="1:3" ht="12.75">
      <c r="A345" s="74"/>
      <c r="B345" s="74"/>
      <c r="C345" s="74"/>
    </row>
    <row r="346" spans="1:3" ht="12.75">
      <c r="A346" s="74"/>
      <c r="B346" s="74"/>
      <c r="C346" s="74"/>
    </row>
    <row r="347" spans="1:3" ht="12.75">
      <c r="A347" s="74"/>
      <c r="B347" s="74"/>
      <c r="C347" s="74"/>
    </row>
    <row r="348" spans="1:3" ht="12.75">
      <c r="A348" s="74"/>
      <c r="B348" s="74"/>
      <c r="C348" s="74"/>
    </row>
    <row r="349" spans="1:3" ht="12.75">
      <c r="A349" s="74"/>
      <c r="B349" s="74"/>
      <c r="C349" s="74"/>
    </row>
    <row r="350" spans="1:3" ht="12.75">
      <c r="A350" s="74"/>
      <c r="B350" s="74"/>
      <c r="C350" s="74"/>
    </row>
    <row r="351" spans="1:3" ht="12.75">
      <c r="A351" s="74"/>
      <c r="B351" s="74"/>
      <c r="C351" s="74"/>
    </row>
    <row r="352" spans="1:3" ht="12.75">
      <c r="A352" s="74"/>
      <c r="B352" s="74"/>
      <c r="C352" s="74"/>
    </row>
    <row r="353" spans="1:3" ht="12.75">
      <c r="A353" s="74"/>
      <c r="B353" s="74"/>
      <c r="C353" s="74"/>
    </row>
    <row r="354" spans="1:3" ht="12.75">
      <c r="A354" s="74"/>
      <c r="B354" s="74"/>
      <c r="C354" s="74"/>
    </row>
    <row r="355" spans="1:3" ht="12.75">
      <c r="A355" s="74"/>
      <c r="B355" s="74"/>
      <c r="C355" s="74"/>
    </row>
    <row r="356" spans="1:3" ht="12.75">
      <c r="A356" s="74"/>
      <c r="B356" s="74"/>
      <c r="C356" s="74"/>
    </row>
    <row r="357" spans="1:3" ht="12.75">
      <c r="A357" s="74"/>
      <c r="B357" s="74"/>
      <c r="C357" s="74"/>
    </row>
    <row r="358" spans="1:3" ht="12.75">
      <c r="A358" s="74"/>
      <c r="B358" s="74"/>
      <c r="C358" s="74"/>
    </row>
    <row r="359" spans="1:3" ht="12.75">
      <c r="A359" s="74"/>
      <c r="B359" s="74"/>
      <c r="C359" s="74"/>
    </row>
    <row r="360" spans="1:3" ht="12.75">
      <c r="A360" s="74"/>
      <c r="B360" s="74"/>
      <c r="C360" s="74"/>
    </row>
    <row r="361" spans="1:3" ht="12.75">
      <c r="A361" s="74"/>
      <c r="B361" s="74"/>
      <c r="C361" s="74"/>
    </row>
    <row r="362" spans="1:3" ht="12.75">
      <c r="A362" s="74"/>
      <c r="B362" s="74"/>
      <c r="C362" s="74"/>
    </row>
    <row r="363" spans="1:3" ht="12.75">
      <c r="A363" s="74"/>
      <c r="B363" s="74"/>
      <c r="C363" s="74"/>
    </row>
    <row r="364" spans="1:3" ht="12.75">
      <c r="A364" s="74"/>
      <c r="B364" s="74"/>
      <c r="C364" s="74"/>
    </row>
    <row r="365" spans="1:3" ht="12.75">
      <c r="A365" s="74"/>
      <c r="B365" s="74"/>
      <c r="C365" s="74"/>
    </row>
    <row r="366" spans="1:3" ht="12.75">
      <c r="A366" s="74"/>
      <c r="B366" s="74"/>
      <c r="C366" s="74"/>
    </row>
    <row r="367" spans="1:3" ht="12.75">
      <c r="A367" s="74"/>
      <c r="B367" s="74"/>
      <c r="C367" s="74"/>
    </row>
    <row r="368" spans="1:3" ht="12.75">
      <c r="A368" s="74"/>
      <c r="B368" s="74"/>
      <c r="C368" s="74"/>
    </row>
    <row r="369" spans="1:3" ht="12.75">
      <c r="A369" s="74"/>
      <c r="B369" s="74"/>
      <c r="C369" s="74"/>
    </row>
    <row r="370" spans="1:3" ht="12.75">
      <c r="A370" s="74"/>
      <c r="B370" s="74"/>
      <c r="C370" s="74"/>
    </row>
    <row r="371" spans="1:3" ht="12.75">
      <c r="A371" s="74"/>
      <c r="B371" s="74"/>
      <c r="C371" s="74"/>
    </row>
    <row r="372" spans="1:3" ht="12.75">
      <c r="A372" s="74"/>
      <c r="B372" s="74"/>
      <c r="C372" s="74"/>
    </row>
    <row r="373" spans="1:3" ht="12.75">
      <c r="A373" s="74"/>
      <c r="B373" s="74"/>
      <c r="C373" s="74"/>
    </row>
    <row r="374" spans="1:3" ht="12.75">
      <c r="A374" s="74"/>
      <c r="B374" s="74"/>
      <c r="C374" s="74"/>
    </row>
    <row r="375" spans="1:3" ht="12.75">
      <c r="A375" s="74"/>
      <c r="B375" s="74"/>
      <c r="C375" s="74"/>
    </row>
    <row r="376" spans="1:3" ht="12.75">
      <c r="A376" s="74"/>
      <c r="B376" s="74"/>
      <c r="C376" s="74"/>
    </row>
    <row r="377" spans="1:3" ht="12.75">
      <c r="A377" s="74"/>
      <c r="B377" s="74"/>
      <c r="C377" s="74"/>
    </row>
    <row r="378" spans="1:3" ht="12.75">
      <c r="A378" s="74"/>
      <c r="B378" s="74"/>
      <c r="C378" s="74"/>
    </row>
    <row r="379" spans="1:3" ht="12.75">
      <c r="A379" s="74"/>
      <c r="B379" s="74"/>
      <c r="C379" s="74"/>
    </row>
    <row r="380" spans="1:3" ht="12.75">
      <c r="A380" s="74"/>
      <c r="B380" s="74"/>
      <c r="C380" s="74"/>
    </row>
    <row r="381" spans="1:3" ht="12.75">
      <c r="A381" s="74"/>
      <c r="B381" s="74"/>
      <c r="C381" s="74"/>
    </row>
    <row r="382" spans="1:3" ht="12.75">
      <c r="A382" s="74"/>
      <c r="B382" s="74"/>
      <c r="C382" s="74"/>
    </row>
    <row r="383" spans="1:3" ht="12.75">
      <c r="A383" s="74"/>
      <c r="B383" s="74"/>
      <c r="C383" s="74"/>
    </row>
    <row r="384" spans="1:3" ht="12.75">
      <c r="A384" s="74"/>
      <c r="B384" s="74"/>
      <c r="C384" s="74"/>
    </row>
    <row r="385" spans="1:3" ht="12.75">
      <c r="A385" s="74"/>
      <c r="B385" s="74"/>
      <c r="C385" s="74"/>
    </row>
    <row r="386" spans="1:3" ht="12.75">
      <c r="A386" s="74"/>
      <c r="B386" s="74"/>
      <c r="C386" s="74"/>
    </row>
    <row r="387" spans="1:3" ht="12.75">
      <c r="A387" s="74"/>
      <c r="B387" s="74"/>
      <c r="C387" s="74"/>
    </row>
    <row r="388" spans="1:3" ht="12.75">
      <c r="A388" s="74"/>
      <c r="B388" s="74"/>
      <c r="C388" s="74"/>
    </row>
    <row r="389" spans="1:3" ht="12.75">
      <c r="A389" s="74"/>
      <c r="B389" s="74"/>
      <c r="C389" s="74"/>
    </row>
    <row r="390" spans="1:3" ht="12.75">
      <c r="A390" s="74"/>
      <c r="B390" s="74"/>
      <c r="C390" s="74"/>
    </row>
    <row r="391" spans="1:3" ht="12.75">
      <c r="A391" s="74"/>
      <c r="B391" s="74"/>
      <c r="C391" s="74"/>
    </row>
    <row r="392" spans="1:3" ht="12.75">
      <c r="A392" s="74"/>
      <c r="B392" s="74"/>
      <c r="C392" s="74"/>
    </row>
    <row r="393" spans="1:3" ht="12.75">
      <c r="A393" s="74"/>
      <c r="B393" s="74"/>
      <c r="C393" s="74"/>
    </row>
    <row r="394" spans="1:3" ht="12.75">
      <c r="A394" s="74"/>
      <c r="B394" s="74"/>
      <c r="C394" s="74"/>
    </row>
    <row r="395" spans="1:3" ht="12.75">
      <c r="A395" s="74"/>
      <c r="B395" s="74"/>
      <c r="C395" s="74"/>
    </row>
    <row r="396" spans="1:3" ht="12.75">
      <c r="A396" s="74"/>
      <c r="B396" s="74"/>
      <c r="C396" s="74"/>
    </row>
    <row r="397" spans="1:3" ht="12.75">
      <c r="A397" s="74"/>
      <c r="B397" s="74"/>
      <c r="C397" s="74"/>
    </row>
    <row r="398" spans="1:3" ht="12.75">
      <c r="A398" s="74"/>
      <c r="B398" s="74"/>
      <c r="C398" s="74"/>
    </row>
    <row r="399" spans="1:3" ht="12.75">
      <c r="A399" s="74"/>
      <c r="B399" s="74"/>
      <c r="C399" s="74"/>
    </row>
    <row r="400" spans="1:3" ht="12.75">
      <c r="A400" s="74"/>
      <c r="B400" s="74"/>
      <c r="C400" s="74"/>
    </row>
    <row r="401" spans="1:3" ht="12.75">
      <c r="A401" s="74"/>
      <c r="B401" s="74"/>
      <c r="C401" s="74"/>
    </row>
    <row r="402" spans="1:3" ht="12.75">
      <c r="A402" s="74"/>
      <c r="B402" s="74"/>
      <c r="C402" s="74"/>
    </row>
    <row r="403" spans="1:3" ht="12.75">
      <c r="A403" s="74"/>
      <c r="B403" s="74"/>
      <c r="C403" s="74"/>
    </row>
    <row r="404" spans="1:3" ht="12.75">
      <c r="A404" s="74"/>
      <c r="B404" s="74"/>
      <c r="C404" s="74"/>
    </row>
    <row r="405" spans="1:3" ht="12.75">
      <c r="A405" s="74"/>
      <c r="B405" s="74"/>
      <c r="C405" s="74"/>
    </row>
    <row r="406" spans="1:3" ht="12.75">
      <c r="A406" s="74"/>
      <c r="B406" s="74"/>
      <c r="C406" s="74"/>
    </row>
    <row r="407" spans="1:3" ht="12.75">
      <c r="A407" s="74"/>
      <c r="B407" s="74"/>
      <c r="C407" s="74"/>
    </row>
    <row r="408" spans="1:3" ht="12.75">
      <c r="A408" s="74"/>
      <c r="B408" s="74"/>
      <c r="C408" s="74"/>
    </row>
    <row r="409" spans="1:3" ht="12.75">
      <c r="A409" s="74"/>
      <c r="B409" s="74"/>
      <c r="C409" s="74"/>
    </row>
    <row r="410" spans="1:3" ht="12.75">
      <c r="A410" s="74"/>
      <c r="B410" s="74"/>
      <c r="C410" s="74"/>
    </row>
    <row r="411" spans="1:3" ht="12.75">
      <c r="A411" s="74"/>
      <c r="B411" s="74"/>
      <c r="C411" s="74"/>
    </row>
    <row r="412" spans="1:3" ht="12.75">
      <c r="A412" s="74"/>
      <c r="B412" s="74"/>
      <c r="C412" s="74"/>
    </row>
    <row r="413" spans="1:3" ht="12.75">
      <c r="A413" s="74"/>
      <c r="B413" s="74"/>
      <c r="C413" s="74"/>
    </row>
    <row r="414" spans="1:3" ht="12.75">
      <c r="A414" s="74"/>
      <c r="B414" s="74"/>
      <c r="C414" s="74"/>
    </row>
    <row r="415" spans="1:3" ht="12.75">
      <c r="A415" s="74"/>
      <c r="B415" s="74"/>
      <c r="C415" s="74"/>
    </row>
    <row r="416" spans="1:3" ht="12.75">
      <c r="A416" s="74"/>
      <c r="B416" s="74"/>
      <c r="C416" s="74"/>
    </row>
    <row r="417" spans="1:3" ht="12.75">
      <c r="A417" s="74"/>
      <c r="B417" s="74"/>
      <c r="C417" s="74"/>
    </row>
    <row r="418" spans="1:3" ht="12.75">
      <c r="A418" s="74"/>
      <c r="B418" s="74"/>
      <c r="C418" s="74"/>
    </row>
    <row r="419" spans="1:3" ht="12.75">
      <c r="A419" s="74"/>
      <c r="B419" s="74"/>
      <c r="C419" s="74"/>
    </row>
    <row r="420" spans="1:3" ht="12.75">
      <c r="A420" s="74"/>
      <c r="B420" s="74"/>
      <c r="C420" s="74"/>
    </row>
    <row r="421" spans="1:3" ht="12.75">
      <c r="A421" s="74"/>
      <c r="B421" s="74"/>
      <c r="C421" s="74"/>
    </row>
    <row r="422" spans="1:3" ht="12.75">
      <c r="A422" s="74"/>
      <c r="B422" s="74"/>
      <c r="C422" s="74"/>
    </row>
    <row r="423" spans="1:3" ht="12.75">
      <c r="A423" s="74"/>
      <c r="B423" s="74"/>
      <c r="C423" s="74"/>
    </row>
    <row r="424" spans="1:3" ht="12.75">
      <c r="A424" s="74"/>
      <c r="B424" s="74"/>
      <c r="C424" s="74"/>
    </row>
    <row r="425" spans="1:3" ht="12.75">
      <c r="A425" s="74"/>
      <c r="B425" s="74"/>
      <c r="C425" s="74"/>
    </row>
    <row r="426" spans="1:3" ht="12.75">
      <c r="A426" s="74"/>
      <c r="B426" s="74"/>
      <c r="C426" s="74"/>
    </row>
    <row r="427" spans="1:3" ht="12.75">
      <c r="A427" s="74"/>
      <c r="B427" s="74"/>
      <c r="C427" s="74"/>
    </row>
    <row r="428" spans="1:3" ht="12.75">
      <c r="A428" s="74"/>
      <c r="B428" s="74"/>
      <c r="C428" s="74"/>
    </row>
    <row r="429" spans="1:3" ht="12.75">
      <c r="A429" s="74"/>
      <c r="B429" s="74"/>
      <c r="C429" s="74"/>
    </row>
    <row r="430" spans="1:3" ht="12.75">
      <c r="A430" s="74"/>
      <c r="B430" s="74"/>
      <c r="C430" s="74"/>
    </row>
    <row r="431" spans="1:3" ht="12.75">
      <c r="A431" s="74"/>
      <c r="B431" s="74"/>
      <c r="C431" s="74"/>
    </row>
    <row r="432" spans="1:3" ht="12.75">
      <c r="A432" s="74"/>
      <c r="B432" s="74"/>
      <c r="C432" s="74"/>
    </row>
    <row r="433" spans="1:3" ht="12.75">
      <c r="A433" s="74"/>
      <c r="B433" s="74"/>
      <c r="C433" s="74"/>
    </row>
    <row r="434" spans="1:3" ht="12.75">
      <c r="A434" s="74"/>
      <c r="B434" s="74"/>
      <c r="C434" s="74"/>
    </row>
    <row r="435" spans="1:3" ht="12.75">
      <c r="A435" s="74"/>
      <c r="B435" s="74"/>
      <c r="C435" s="74"/>
    </row>
    <row r="436" spans="1:3" ht="12.75">
      <c r="A436" s="74"/>
      <c r="B436" s="74"/>
      <c r="C436" s="74"/>
    </row>
    <row r="437" spans="1:3" ht="12.75">
      <c r="A437" s="74"/>
      <c r="B437" s="74"/>
      <c r="C437" s="74"/>
    </row>
    <row r="438" spans="1:3" ht="12.75">
      <c r="A438" s="74"/>
      <c r="B438" s="74"/>
      <c r="C438" s="74"/>
    </row>
    <row r="439" spans="1:3" ht="12.75">
      <c r="A439" s="74"/>
      <c r="B439" s="74"/>
      <c r="C439" s="74"/>
    </row>
    <row r="440" spans="1:3" ht="12.75">
      <c r="A440" s="74"/>
      <c r="B440" s="74"/>
      <c r="C440" s="74"/>
    </row>
    <row r="441" spans="1:3" ht="12.75">
      <c r="A441" s="74"/>
      <c r="B441" s="74"/>
      <c r="C441" s="74"/>
    </row>
    <row r="442" spans="1:3" ht="12.75">
      <c r="A442" s="74"/>
      <c r="B442" s="74"/>
      <c r="C442" s="74"/>
    </row>
    <row r="443" spans="1:3" ht="12.75">
      <c r="A443" s="74"/>
      <c r="B443" s="74"/>
      <c r="C443" s="74"/>
    </row>
    <row r="444" spans="1:3" ht="12.75">
      <c r="A444" s="74"/>
      <c r="B444" s="74"/>
      <c r="C444" s="74"/>
    </row>
    <row r="445" spans="1:3" ht="12.75">
      <c r="A445" s="74"/>
      <c r="B445" s="74"/>
      <c r="C445" s="74"/>
    </row>
    <row r="446" spans="1:3" ht="12.75">
      <c r="A446" s="74"/>
      <c r="B446" s="74"/>
      <c r="C446" s="74"/>
    </row>
    <row r="447" spans="1:3" ht="12.75">
      <c r="A447" s="74"/>
      <c r="B447" s="74"/>
      <c r="C447" s="74"/>
    </row>
    <row r="448" spans="1:3" ht="12.75">
      <c r="A448" s="74"/>
      <c r="B448" s="74"/>
      <c r="C448" s="74"/>
    </row>
    <row r="449" spans="1:3" ht="12.75">
      <c r="A449" s="74"/>
      <c r="B449" s="74"/>
      <c r="C449" s="74"/>
    </row>
    <row r="450" spans="1:3" ht="12.75">
      <c r="A450" s="74"/>
      <c r="B450" s="74"/>
      <c r="C450" s="74"/>
    </row>
    <row r="451" spans="1:3" ht="12.75">
      <c r="A451" s="74"/>
      <c r="B451" s="74"/>
      <c r="C451" s="74"/>
    </row>
    <row r="452" spans="1:3" ht="12.75">
      <c r="A452" s="74"/>
      <c r="B452" s="74"/>
      <c r="C452" s="74"/>
    </row>
    <row r="453" spans="1:3" ht="12.75">
      <c r="A453" s="74"/>
      <c r="B453" s="74"/>
      <c r="C453" s="74"/>
    </row>
    <row r="454" spans="1:3" ht="12.75">
      <c r="A454" s="74"/>
      <c r="B454" s="74"/>
      <c r="C454" s="74"/>
    </row>
    <row r="455" spans="1:3" ht="12.75">
      <c r="A455" s="74"/>
      <c r="B455" s="74"/>
      <c r="C455" s="74"/>
    </row>
    <row r="456" spans="1:3" ht="12.75">
      <c r="A456" s="74"/>
      <c r="B456" s="74"/>
      <c r="C456" s="74"/>
    </row>
    <row r="457" spans="1:3" ht="12.75">
      <c r="A457" s="74"/>
      <c r="B457" s="74"/>
      <c r="C457" s="74"/>
    </row>
    <row r="458" spans="1:3" ht="12.75">
      <c r="A458" s="74"/>
      <c r="B458" s="74"/>
      <c r="C458" s="74"/>
    </row>
    <row r="459" spans="1:3" ht="12.75">
      <c r="A459" s="74"/>
      <c r="B459" s="74"/>
      <c r="C459" s="74"/>
    </row>
    <row r="460" spans="1:3" ht="12.75">
      <c r="A460" s="74"/>
      <c r="B460" s="74"/>
      <c r="C460" s="74"/>
    </row>
    <row r="461" spans="1:3" ht="12.75">
      <c r="A461" s="74"/>
      <c r="B461" s="74"/>
      <c r="C461" s="74"/>
    </row>
    <row r="462" spans="1:3" ht="12.75">
      <c r="A462" s="74"/>
      <c r="B462" s="74"/>
      <c r="C462" s="74"/>
    </row>
    <row r="463" spans="1:3" ht="12.75">
      <c r="A463" s="74"/>
      <c r="B463" s="74"/>
      <c r="C463" s="74"/>
    </row>
    <row r="464" spans="1:3" ht="12.75">
      <c r="A464" s="74"/>
      <c r="B464" s="74"/>
      <c r="C464" s="74"/>
    </row>
    <row r="465" spans="1:3" ht="12.75">
      <c r="A465" s="74"/>
      <c r="B465" s="74"/>
      <c r="C465" s="74"/>
    </row>
    <row r="466" spans="1:3" ht="12.75">
      <c r="A466" s="74"/>
      <c r="B466" s="74"/>
      <c r="C466" s="74"/>
    </row>
    <row r="467" spans="1:3" ht="12.75">
      <c r="A467" s="74"/>
      <c r="B467" s="74"/>
      <c r="C467" s="74"/>
    </row>
    <row r="468" spans="1:3" ht="12.75">
      <c r="A468" s="74"/>
      <c r="B468" s="74"/>
      <c r="C468" s="74"/>
    </row>
    <row r="469" spans="1:3" ht="12.75">
      <c r="A469" s="74"/>
      <c r="B469" s="74"/>
      <c r="C469" s="74"/>
    </row>
    <row r="470" spans="1:3" ht="12.75">
      <c r="A470" s="74"/>
      <c r="B470" s="74"/>
      <c r="C470" s="74"/>
    </row>
    <row r="471" spans="1:3" ht="12.75">
      <c r="A471" s="74"/>
      <c r="B471" s="74"/>
      <c r="C471" s="74"/>
    </row>
    <row r="472" spans="1:3" ht="12.75">
      <c r="A472" s="74"/>
      <c r="B472" s="74"/>
      <c r="C472" s="74"/>
    </row>
    <row r="473" spans="1:3" ht="12.75">
      <c r="A473" s="74"/>
      <c r="B473" s="74"/>
      <c r="C473" s="74"/>
    </row>
    <row r="474" spans="1:3" ht="12.75">
      <c r="A474" s="74"/>
      <c r="B474" s="74"/>
      <c r="C474" s="74"/>
    </row>
    <row r="475" spans="1:3" ht="12.75">
      <c r="A475" s="74"/>
      <c r="B475" s="74"/>
      <c r="C475" s="74"/>
    </row>
    <row r="476" spans="1:3" ht="12.75">
      <c r="A476" s="74"/>
      <c r="B476" s="74"/>
      <c r="C476" s="74"/>
    </row>
    <row r="477" spans="1:3" ht="12.75">
      <c r="A477" s="74"/>
      <c r="B477" s="74"/>
      <c r="C477" s="74"/>
    </row>
    <row r="478" spans="1:3" ht="12.75">
      <c r="A478" s="74"/>
      <c r="B478" s="74"/>
      <c r="C478" s="74"/>
    </row>
    <row r="479" spans="1:3" ht="12.75">
      <c r="A479" s="74"/>
      <c r="B479" s="74"/>
      <c r="C479" s="74"/>
    </row>
    <row r="480" spans="1:3" ht="12.75">
      <c r="A480" s="74"/>
      <c r="B480" s="74"/>
      <c r="C480" s="74"/>
    </row>
    <row r="481" spans="1:3" ht="12.75">
      <c r="A481" s="74"/>
      <c r="B481" s="74"/>
      <c r="C481" s="74"/>
    </row>
    <row r="482" spans="1:3" ht="12.75">
      <c r="A482" s="74"/>
      <c r="B482" s="74"/>
      <c r="C482" s="74"/>
    </row>
    <row r="483" spans="1:3" ht="12.75">
      <c r="A483" s="74"/>
      <c r="B483" s="74"/>
      <c r="C483" s="74"/>
    </row>
    <row r="484" spans="1:3" ht="12.75">
      <c r="A484" s="74"/>
      <c r="B484" s="74"/>
      <c r="C484" s="74"/>
    </row>
    <row r="485" spans="1:3" ht="12.75">
      <c r="A485" s="74"/>
      <c r="B485" s="74"/>
      <c r="C485" s="74"/>
    </row>
    <row r="486" spans="1:3" ht="12.75">
      <c r="A486" s="74"/>
      <c r="B486" s="74"/>
      <c r="C486" s="74"/>
    </row>
    <row r="487" spans="1:3" ht="12.75">
      <c r="A487" s="74"/>
      <c r="B487" s="74"/>
      <c r="C487" s="74"/>
    </row>
    <row r="488" spans="1:3" ht="12.75">
      <c r="A488" s="74"/>
      <c r="B488" s="74"/>
      <c r="C488" s="74"/>
    </row>
    <row r="489" spans="1:3" ht="12.75">
      <c r="A489" s="74"/>
      <c r="B489" s="74"/>
      <c r="C489" s="74"/>
    </row>
    <row r="490" spans="1:3" ht="12.75">
      <c r="A490" s="74"/>
      <c r="B490" s="74"/>
      <c r="C490" s="74"/>
    </row>
    <row r="491" spans="1:3" ht="12.75">
      <c r="A491" s="74"/>
      <c r="B491" s="74"/>
      <c r="C491" s="74"/>
    </row>
    <row r="492" spans="1:3" ht="12.75">
      <c r="A492" s="74"/>
      <c r="B492" s="74"/>
      <c r="C492" s="74"/>
    </row>
    <row r="493" spans="1:3" ht="12.75">
      <c r="A493" s="74"/>
      <c r="B493" s="74"/>
      <c r="C493" s="74"/>
    </row>
    <row r="494" spans="1:3" ht="12.75">
      <c r="A494" s="74"/>
      <c r="B494" s="74"/>
      <c r="C494" s="74"/>
    </row>
    <row r="495" spans="1:3" ht="12.75">
      <c r="A495" s="74"/>
      <c r="B495" s="74"/>
      <c r="C495" s="74"/>
    </row>
    <row r="496" spans="1:3" ht="12.75">
      <c r="A496" s="74"/>
      <c r="B496" s="74"/>
      <c r="C496" s="74"/>
    </row>
    <row r="497" spans="1:3" ht="12.75">
      <c r="A497" s="74"/>
      <c r="B497" s="74"/>
      <c r="C497" s="74"/>
    </row>
    <row r="498" spans="1:3" ht="12.75">
      <c r="A498" s="74"/>
      <c r="B498" s="74"/>
      <c r="C498" s="74"/>
    </row>
    <row r="499" spans="1:3" ht="12.75">
      <c r="A499" s="74"/>
      <c r="B499" s="74"/>
      <c r="C499" s="74"/>
    </row>
    <row r="500" spans="1:3" ht="12.75">
      <c r="A500" s="74"/>
      <c r="B500" s="74"/>
      <c r="C500" s="74"/>
    </row>
    <row r="501" spans="1:3" ht="12.75">
      <c r="A501" s="74"/>
      <c r="B501" s="74"/>
      <c r="C501" s="74"/>
    </row>
    <row r="502" spans="1:3" ht="12.75">
      <c r="A502" s="74"/>
      <c r="B502" s="74"/>
      <c r="C502" s="74"/>
    </row>
    <row r="503" spans="1:3" ht="12.75">
      <c r="A503" s="74"/>
      <c r="B503" s="74"/>
      <c r="C503" s="74"/>
    </row>
    <row r="504" spans="1:3" ht="12.75">
      <c r="A504" s="74"/>
      <c r="B504" s="74"/>
      <c r="C504" s="74"/>
    </row>
    <row r="505" spans="1:3" ht="12.75">
      <c r="A505" s="74"/>
      <c r="B505" s="74"/>
      <c r="C505" s="74"/>
    </row>
    <row r="506" spans="1:3" ht="12.75">
      <c r="A506" s="74"/>
      <c r="B506" s="74"/>
      <c r="C506" s="74"/>
    </row>
    <row r="507" spans="1:3" ht="12.75">
      <c r="A507" s="74"/>
      <c r="B507" s="74"/>
      <c r="C507" s="74"/>
    </row>
    <row r="508" spans="1:3" ht="12.75">
      <c r="A508" s="74"/>
      <c r="B508" s="74"/>
      <c r="C508" s="74"/>
    </row>
    <row r="509" spans="1:3" ht="12.75">
      <c r="A509" s="74"/>
      <c r="B509" s="74"/>
      <c r="C509" s="74"/>
    </row>
    <row r="510" spans="1:3" ht="12.75">
      <c r="A510" s="74"/>
      <c r="B510" s="74"/>
      <c r="C510" s="74"/>
    </row>
    <row r="511" spans="1:3" ht="12.75">
      <c r="A511" s="74"/>
      <c r="B511" s="74"/>
      <c r="C511" s="74"/>
    </row>
    <row r="512" spans="1:3" ht="12.75">
      <c r="A512" s="74"/>
      <c r="B512" s="74"/>
      <c r="C512" s="74"/>
    </row>
    <row r="513" spans="1:3" ht="12.75">
      <c r="A513" s="74"/>
      <c r="B513" s="74"/>
      <c r="C513" s="74"/>
    </row>
    <row r="514" spans="1:3" ht="12.75">
      <c r="A514" s="74"/>
      <c r="B514" s="74"/>
      <c r="C514" s="74"/>
    </row>
    <row r="515" spans="1:3" ht="12.75">
      <c r="A515" s="74"/>
      <c r="B515" s="74"/>
      <c r="C515" s="74"/>
    </row>
    <row r="516" spans="1:3" ht="12.75">
      <c r="A516" s="74"/>
      <c r="B516" s="74"/>
      <c r="C516" s="74"/>
    </row>
    <row r="517" spans="1:3" ht="12.75">
      <c r="A517" s="74"/>
      <c r="B517" s="74"/>
      <c r="C517" s="74"/>
    </row>
    <row r="518" spans="1:3" ht="12.75">
      <c r="A518" s="74"/>
      <c r="B518" s="74"/>
      <c r="C518" s="74"/>
    </row>
    <row r="519" spans="1:3" ht="12.75">
      <c r="A519" s="74"/>
      <c r="B519" s="74"/>
      <c r="C519" s="74"/>
    </row>
    <row r="520" spans="1:3" ht="12.75">
      <c r="A520" s="74"/>
      <c r="B520" s="74"/>
      <c r="C520" s="74"/>
    </row>
    <row r="521" spans="1:3" ht="12.75">
      <c r="A521" s="74"/>
      <c r="B521" s="74"/>
      <c r="C521" s="74"/>
    </row>
    <row r="522" spans="1:3" ht="12.75">
      <c r="A522" s="74"/>
      <c r="B522" s="74"/>
      <c r="C522" s="74"/>
    </row>
    <row r="523" spans="1:3" ht="12.75">
      <c r="A523" s="74"/>
      <c r="B523" s="74"/>
      <c r="C523" s="74"/>
    </row>
    <row r="524" spans="1:3" ht="12.75">
      <c r="A524" s="74"/>
      <c r="B524" s="74"/>
      <c r="C524" s="74"/>
    </row>
    <row r="525" spans="1:3" ht="12.75">
      <c r="A525" s="74"/>
      <c r="B525" s="74"/>
      <c r="C525" s="74"/>
    </row>
    <row r="526" spans="1:3" ht="12.75">
      <c r="A526" s="74"/>
      <c r="B526" s="74"/>
      <c r="C526" s="74"/>
    </row>
    <row r="527" spans="1:3" ht="12.75">
      <c r="A527" s="74"/>
      <c r="B527" s="74"/>
      <c r="C527" s="74"/>
    </row>
    <row r="528" spans="1:3" ht="12.75">
      <c r="A528" s="74"/>
      <c r="B528" s="74"/>
      <c r="C528" s="74"/>
    </row>
    <row r="529" spans="1:3" ht="12.75">
      <c r="A529" s="74"/>
      <c r="B529" s="74"/>
      <c r="C529" s="74"/>
    </row>
    <row r="530" spans="1:3" ht="12.75">
      <c r="A530" s="74"/>
      <c r="B530" s="74"/>
      <c r="C530" s="74"/>
    </row>
    <row r="531" spans="1:3" ht="12.75">
      <c r="A531" s="74"/>
      <c r="B531" s="74"/>
      <c r="C531" s="74"/>
    </row>
    <row r="532" spans="1:3" ht="12.75">
      <c r="A532" s="74"/>
      <c r="B532" s="74"/>
      <c r="C532" s="74"/>
    </row>
    <row r="533" spans="1:3" ht="12.75">
      <c r="A533" s="74"/>
      <c r="B533" s="74"/>
      <c r="C533" s="74"/>
    </row>
    <row r="534" spans="1:3" ht="12.75">
      <c r="A534" s="74"/>
      <c r="B534" s="74"/>
      <c r="C534" s="74"/>
    </row>
    <row r="535" spans="1:3" ht="12.75">
      <c r="A535" s="74"/>
      <c r="B535" s="74"/>
      <c r="C535" s="74"/>
    </row>
    <row r="536" spans="1:3" ht="12.75">
      <c r="A536" s="74"/>
      <c r="B536" s="74"/>
      <c r="C536" s="74"/>
    </row>
    <row r="537" spans="1:3" ht="12.75">
      <c r="A537" s="74"/>
      <c r="B537" s="74"/>
      <c r="C537" s="74"/>
    </row>
    <row r="538" spans="1:3" ht="12.75">
      <c r="A538" s="74"/>
      <c r="B538" s="74"/>
      <c r="C538" s="74"/>
    </row>
    <row r="539" spans="1:3" ht="12.75">
      <c r="A539" s="74"/>
      <c r="B539" s="74"/>
      <c r="C539" s="74"/>
    </row>
    <row r="540" spans="1:3" ht="12.75">
      <c r="A540" s="74"/>
      <c r="B540" s="74"/>
      <c r="C540" s="74"/>
    </row>
    <row r="541" spans="1:3" ht="12.75">
      <c r="A541" s="74"/>
      <c r="B541" s="74"/>
      <c r="C541" s="74"/>
    </row>
    <row r="542" spans="1:3" ht="12.75">
      <c r="A542" s="74"/>
      <c r="B542" s="74"/>
      <c r="C542" s="74"/>
    </row>
    <row r="543" spans="1:3" ht="12.75">
      <c r="A543" s="74"/>
      <c r="B543" s="74"/>
      <c r="C543" s="74"/>
    </row>
    <row r="544" spans="1:3" ht="12.75">
      <c r="A544" s="74"/>
      <c r="B544" s="74"/>
      <c r="C544" s="74"/>
    </row>
    <row r="545" spans="1:3" ht="12.75">
      <c r="A545" s="74"/>
      <c r="B545" s="74"/>
      <c r="C545" s="74"/>
    </row>
    <row r="546" spans="1:3" ht="12.75">
      <c r="A546" s="74"/>
      <c r="B546" s="74"/>
      <c r="C546" s="74"/>
    </row>
    <row r="547" spans="1:3" ht="12.75">
      <c r="A547" s="74"/>
      <c r="B547" s="74"/>
      <c r="C547" s="74"/>
    </row>
    <row r="548" spans="1:3" ht="12.75">
      <c r="A548" s="74"/>
      <c r="B548" s="74"/>
      <c r="C548" s="74"/>
    </row>
    <row r="549" spans="1:3" ht="12.75">
      <c r="A549" s="74"/>
      <c r="B549" s="74"/>
      <c r="C549" s="74"/>
    </row>
    <row r="550" spans="1:3" ht="12.75">
      <c r="A550" s="74"/>
      <c r="B550" s="74"/>
      <c r="C550" s="74"/>
    </row>
    <row r="551" spans="1:3" ht="12.75">
      <c r="A551" s="74"/>
      <c r="B551" s="74"/>
      <c r="C551" s="74"/>
    </row>
    <row r="552" spans="1:3" ht="12.75">
      <c r="A552" s="74"/>
      <c r="B552" s="74"/>
      <c r="C552" s="74"/>
    </row>
    <row r="553" spans="1:3" ht="12.75">
      <c r="A553" s="74"/>
      <c r="B553" s="74"/>
      <c r="C553" s="74"/>
    </row>
    <row r="554" spans="1:3" ht="12.75">
      <c r="A554" s="74"/>
      <c r="B554" s="74"/>
      <c r="C554" s="74"/>
    </row>
    <row r="555" spans="1:3" ht="12.75">
      <c r="A555" s="74"/>
      <c r="B555" s="74"/>
      <c r="C555" s="74"/>
    </row>
    <row r="556" spans="1:3" ht="12.75">
      <c r="A556" s="74"/>
      <c r="B556" s="74"/>
      <c r="C556" s="74"/>
    </row>
    <row r="557" spans="1:3" ht="12.75">
      <c r="A557" s="74"/>
      <c r="B557" s="74"/>
      <c r="C557" s="74"/>
    </row>
    <row r="558" spans="1:3" ht="12.75">
      <c r="A558" s="74"/>
      <c r="B558" s="74"/>
      <c r="C558" s="74"/>
    </row>
    <row r="559" spans="1:3" ht="12.75">
      <c r="A559" s="74"/>
      <c r="B559" s="74"/>
      <c r="C559" s="74"/>
    </row>
    <row r="560" spans="1:3" ht="12.75">
      <c r="A560" s="74"/>
      <c r="B560" s="74"/>
      <c r="C560" s="74"/>
    </row>
    <row r="561" spans="1:3" ht="12.75">
      <c r="A561" s="74"/>
      <c r="B561" s="74"/>
      <c r="C561" s="74"/>
    </row>
    <row r="562" spans="1:3" ht="12.75">
      <c r="A562" s="74"/>
      <c r="B562" s="74"/>
      <c r="C562" s="74"/>
    </row>
    <row r="563" spans="1:3" ht="12.75">
      <c r="A563" s="74"/>
      <c r="B563" s="74"/>
      <c r="C563" s="74"/>
    </row>
    <row r="564" spans="1:3" ht="12.75">
      <c r="A564" s="74"/>
      <c r="B564" s="74"/>
      <c r="C564" s="74"/>
    </row>
    <row r="565" spans="1:3" ht="12.75">
      <c r="A565" s="74"/>
      <c r="B565" s="74"/>
      <c r="C565" s="74"/>
    </row>
    <row r="566" spans="1:3" ht="12.75">
      <c r="A566" s="74"/>
      <c r="B566" s="74"/>
      <c r="C566" s="74"/>
    </row>
    <row r="567" spans="1:3" ht="12.75">
      <c r="A567" s="74"/>
      <c r="B567" s="74"/>
      <c r="C567" s="74"/>
    </row>
    <row r="568" spans="1:3" ht="12.75">
      <c r="A568" s="74"/>
      <c r="B568" s="74"/>
      <c r="C568" s="74"/>
    </row>
    <row r="569" spans="1:3" ht="12.75">
      <c r="A569" s="74"/>
      <c r="B569" s="74"/>
      <c r="C569" s="74"/>
    </row>
    <row r="570" spans="1:3" ht="12.75">
      <c r="A570" s="74"/>
      <c r="B570" s="74"/>
      <c r="C570" s="74"/>
    </row>
    <row r="571" spans="1:3" ht="12.75">
      <c r="A571" s="74"/>
      <c r="B571" s="74"/>
      <c r="C571" s="74"/>
    </row>
    <row r="572" spans="1:3" ht="12.75">
      <c r="A572" s="74"/>
      <c r="B572" s="74"/>
      <c r="C572" s="74"/>
    </row>
    <row r="573" spans="1:3" ht="12.75">
      <c r="A573" s="74"/>
      <c r="B573" s="74"/>
      <c r="C573" s="74"/>
    </row>
    <row r="574" spans="1:3" ht="12.75">
      <c r="A574" s="74"/>
      <c r="B574" s="74"/>
      <c r="C574" s="74"/>
    </row>
    <row r="575" spans="1:3" ht="12.75">
      <c r="A575" s="74"/>
      <c r="B575" s="74"/>
      <c r="C575" s="74"/>
    </row>
    <row r="576" spans="1:3" ht="12.75">
      <c r="A576" s="74"/>
      <c r="B576" s="74"/>
      <c r="C576" s="74"/>
    </row>
    <row r="577" spans="1:3" ht="12.75">
      <c r="A577" s="74"/>
      <c r="B577" s="74"/>
      <c r="C577" s="74"/>
    </row>
    <row r="578" spans="1:3" ht="12.75">
      <c r="A578" s="74"/>
      <c r="B578" s="74"/>
      <c r="C578" s="74"/>
    </row>
    <row r="579" spans="1:3" ht="12.75">
      <c r="A579" s="74"/>
      <c r="B579" s="74"/>
      <c r="C579" s="74"/>
    </row>
    <row r="580" spans="1:3" ht="12.75">
      <c r="A580" s="74"/>
      <c r="B580" s="74"/>
      <c r="C580" s="74"/>
    </row>
    <row r="581" spans="1:3" ht="12.75">
      <c r="A581" s="74"/>
      <c r="B581" s="74"/>
      <c r="C581" s="74"/>
    </row>
    <row r="582" spans="1:3" ht="12.75">
      <c r="A582" s="74"/>
      <c r="B582" s="74"/>
      <c r="C582" s="74"/>
    </row>
    <row r="583" spans="1:3" ht="12.75">
      <c r="A583" s="74"/>
      <c r="B583" s="74"/>
      <c r="C583" s="74"/>
    </row>
    <row r="584" spans="1:3" ht="12.75">
      <c r="A584" s="74"/>
      <c r="B584" s="74"/>
      <c r="C584" s="74"/>
    </row>
    <row r="585" spans="1:3" ht="12.75">
      <c r="A585" s="74"/>
      <c r="B585" s="74"/>
      <c r="C585" s="74"/>
    </row>
    <row r="586" spans="1:3" ht="12.75">
      <c r="A586" s="74"/>
      <c r="B586" s="74"/>
      <c r="C586" s="74"/>
    </row>
    <row r="587" spans="1:3" ht="12.75">
      <c r="A587" s="74"/>
      <c r="B587" s="74"/>
      <c r="C587" s="74"/>
    </row>
    <row r="588" spans="1:3" ht="12.75">
      <c r="A588" s="74"/>
      <c r="B588" s="74"/>
      <c r="C588" s="74"/>
    </row>
    <row r="589" spans="1:3" ht="12.75">
      <c r="A589" s="74"/>
      <c r="B589" s="74"/>
      <c r="C589" s="74"/>
    </row>
    <row r="590" spans="1:3" ht="12.75">
      <c r="A590" s="74"/>
      <c r="B590" s="74"/>
      <c r="C590" s="74"/>
    </row>
    <row r="591" spans="1:3" ht="12.75">
      <c r="A591" s="74"/>
      <c r="B591" s="74"/>
      <c r="C591" s="74"/>
    </row>
    <row r="592" spans="1:3" ht="12.75">
      <c r="A592" s="74"/>
      <c r="B592" s="74"/>
      <c r="C592" s="74"/>
    </row>
    <row r="593" spans="1:3" ht="12.75">
      <c r="A593" s="74"/>
      <c r="B593" s="74"/>
      <c r="C593" s="74"/>
    </row>
    <row r="594" spans="1:3" ht="12.75">
      <c r="A594" s="74"/>
      <c r="B594" s="74"/>
      <c r="C594" s="74"/>
    </row>
    <row r="595" spans="1:3" ht="12.75">
      <c r="A595" s="74"/>
      <c r="B595" s="74"/>
      <c r="C595" s="74"/>
    </row>
    <row r="596" spans="1:3" ht="12.75">
      <c r="A596" s="74"/>
      <c r="B596" s="74"/>
      <c r="C596" s="74"/>
    </row>
    <row r="597" spans="1:3" ht="12.75">
      <c r="A597" s="74"/>
      <c r="B597" s="74"/>
      <c r="C597" s="74"/>
    </row>
    <row r="598" spans="1:3" ht="12.75">
      <c r="A598" s="74"/>
      <c r="B598" s="74"/>
      <c r="C598" s="74"/>
    </row>
    <row r="599" spans="1:3" ht="12.75">
      <c r="A599" s="74"/>
      <c r="B599" s="74"/>
      <c r="C599" s="74"/>
    </row>
    <row r="600" spans="1:3" ht="12.75">
      <c r="A600" s="74"/>
      <c r="B600" s="74"/>
      <c r="C600" s="74"/>
    </row>
    <row r="601" spans="1:3" ht="12.75">
      <c r="A601" s="74"/>
      <c r="B601" s="74"/>
      <c r="C601" s="74"/>
    </row>
    <row r="602" spans="1:3" ht="12.75">
      <c r="A602" s="74"/>
      <c r="B602" s="74"/>
      <c r="C602" s="74"/>
    </row>
    <row r="603" spans="1:3" ht="12.75">
      <c r="A603" s="74"/>
      <c r="B603" s="74"/>
      <c r="C603" s="74"/>
    </row>
    <row r="604" spans="1:3" ht="12.75">
      <c r="A604" s="74"/>
      <c r="B604" s="74"/>
      <c r="C604" s="74"/>
    </row>
    <row r="605" spans="1:3" ht="12.75">
      <c r="A605" s="74"/>
      <c r="B605" s="74"/>
      <c r="C605" s="74"/>
    </row>
    <row r="606" spans="1:3" ht="12.75">
      <c r="A606" s="74"/>
      <c r="B606" s="74"/>
      <c r="C606" s="74"/>
    </row>
    <row r="607" spans="1:3" ht="12.75">
      <c r="A607" s="74"/>
      <c r="B607" s="74"/>
      <c r="C607" s="74"/>
    </row>
    <row r="608" spans="1:3" ht="12.75">
      <c r="A608" s="74"/>
      <c r="B608" s="74"/>
      <c r="C608" s="74"/>
    </row>
    <row r="609" spans="1:3" ht="12.75">
      <c r="A609" s="74"/>
      <c r="B609" s="74"/>
      <c r="C609" s="74"/>
    </row>
    <row r="610" spans="1:3" ht="12.75">
      <c r="A610" s="74"/>
      <c r="B610" s="74"/>
      <c r="C610" s="74"/>
    </row>
    <row r="611" spans="1:3" ht="12.75">
      <c r="A611" s="74"/>
      <c r="B611" s="74"/>
      <c r="C611" s="74"/>
    </row>
    <row r="612" spans="1:3" ht="12.75">
      <c r="A612" s="74"/>
      <c r="B612" s="74"/>
      <c r="C612" s="74"/>
    </row>
  </sheetData>
  <sheetProtection/>
  <printOptions/>
  <pageMargins left="0.75" right="0.75" top="1" bottom="1" header="0" footer="0"/>
  <pageSetup horizontalDpi="600" verticalDpi="600" orientation="portrait" r:id="rId1"/>
  <headerFooter alignWithMargins="0">
    <oddHeader>&amp;CAnálisis de Costos - Área de Estudios Previos</oddHeader>
    <oddFooter>&amp;L16/02/2010&amp;R0</oddFooter>
  </headerFooter>
</worksheet>
</file>

<file path=xl/worksheets/sheet13.xml><?xml version="1.0" encoding="utf-8"?>
<worksheet xmlns="http://schemas.openxmlformats.org/spreadsheetml/2006/main" xmlns:r="http://schemas.openxmlformats.org/officeDocument/2006/relationships">
  <sheetPr codeName="Hoja12">
    <pageSetUpPr fitToPage="1"/>
  </sheetPr>
  <dimension ref="A1:L43"/>
  <sheetViews>
    <sheetView showGridLines="0" zoomScalePageLayoutView="0" workbookViewId="0" topLeftCell="A1">
      <selection activeCell="F29" sqref="F29"/>
    </sheetView>
  </sheetViews>
  <sheetFormatPr defaultColWidth="12" defaultRowHeight="12.75"/>
  <cols>
    <col min="1" max="1" width="5" style="147" customWidth="1"/>
    <col min="2" max="2" width="4.66015625" style="148" customWidth="1"/>
    <col min="3" max="3" width="7.66015625" style="147" bestFit="1" customWidth="1"/>
    <col min="4" max="4" width="11.83203125" style="147" customWidth="1"/>
    <col min="5" max="5" width="17.83203125" style="147" customWidth="1"/>
    <col min="6" max="6" width="25.5" style="147" bestFit="1" customWidth="1"/>
    <col min="7" max="7" width="4.16015625" style="147" customWidth="1"/>
    <col min="8" max="16384" width="12" style="147" customWidth="1"/>
  </cols>
  <sheetData>
    <row r="1" ht="18">
      <c r="A1" s="157" t="s">
        <v>728</v>
      </c>
    </row>
    <row r="2" ht="12.75">
      <c r="A2" s="147" t="s">
        <v>750</v>
      </c>
    </row>
    <row r="6" spans="3:7" ht="12.75">
      <c r="C6" s="158" t="s">
        <v>617</v>
      </c>
      <c r="E6" s="158" t="s">
        <v>727</v>
      </c>
      <c r="F6" s="155"/>
      <c r="G6" s="156">
        <v>1</v>
      </c>
    </row>
    <row r="7" spans="2:6" ht="12.75">
      <c r="B7" s="148">
        <v>1</v>
      </c>
      <c r="C7" s="162">
        <v>12</v>
      </c>
      <c r="E7" s="163">
        <f>+TotalContratoConIva</f>
        <v>150543001.79135275</v>
      </c>
      <c r="F7" s="154"/>
    </row>
    <row r="8" spans="2:5" ht="15.75">
      <c r="B8" s="160" t="s">
        <v>749</v>
      </c>
      <c r="C8" s="161"/>
      <c r="D8" s="159" t="s">
        <v>39</v>
      </c>
      <c r="E8" s="159" t="s">
        <v>726</v>
      </c>
    </row>
    <row r="9" spans="1:6" ht="14.25">
      <c r="A9" s="168">
        <v>1</v>
      </c>
      <c r="B9" s="164">
        <f>+A9</f>
        <v>1</v>
      </c>
      <c r="C9" s="165">
        <f>+IF(B9&lt;=$C$7,B9/$C$7*100,"")</f>
        <v>8.333333333333332</v>
      </c>
      <c r="D9" s="166">
        <f>IF(C9&lt;&gt;"",ROUND(-0.00028*C9^3+0.04775*C9^2-1.152*C9^1+18,0)*0.75,"")</f>
        <v>9</v>
      </c>
      <c r="E9" s="167">
        <f>+IF(C9&lt;&gt;"",D9*$E$7/100,"")</f>
        <v>13548870.161221748</v>
      </c>
      <c r="F9" s="153"/>
    </row>
    <row r="10" spans="1:6" ht="14.25">
      <c r="A10" s="168">
        <f>IF(A9=0,"",IF(A9="","",IF(A9+$B$7&lt;=$C$7,A9+$B$7,"")))</f>
        <v>2</v>
      </c>
      <c r="B10" s="168">
        <f>+IF($C$7-A10&lt;0,"",IF($C$7-A10=0,$C$7,A10))</f>
        <v>2</v>
      </c>
      <c r="C10" s="169">
        <f>+IF(B10&lt;=$C$7,B10/$C$7*100,"")</f>
        <v>16.666666666666664</v>
      </c>
      <c r="D10" s="170">
        <f>IF(C10&lt;&gt;"",ROUND(-0.00028*C10^3+0.04775*C10^2-1.152*C10^1+18,0),"")</f>
        <v>11</v>
      </c>
      <c r="E10" s="171">
        <f>+IF(C10&lt;&gt;"",D10*$E$7/100,"")</f>
        <v>16559730.197048802</v>
      </c>
      <c r="F10" s="152"/>
    </row>
    <row r="11" spans="2:6" ht="14.25">
      <c r="B11" s="168">
        <f>IF(B10=0,"",IF(B10="","",IF(B10&lt;=$C$7,B10+$B$7,"")))</f>
        <v>3</v>
      </c>
      <c r="C11" s="169">
        <f aca="true" t="shared" si="0" ref="C11:C24">+IF(B11&lt;=$C$7,B11/$C$7*100,"")</f>
        <v>25</v>
      </c>
      <c r="D11" s="170">
        <f aca="true" t="shared" si="1" ref="D11:D24">IF(C11&lt;&gt;"",ROUND(-0.00028*C11^3+0.04775*C11^2-1.152*C11^1+18,0),"")</f>
        <v>15</v>
      </c>
      <c r="E11" s="171">
        <f aca="true" t="shared" si="2" ref="E11:E23">+IF(C11&lt;&gt;"",D11*$E$7/100,"")</f>
        <v>22581450.268702913</v>
      </c>
      <c r="F11" s="152"/>
    </row>
    <row r="12" spans="2:6" ht="14.25">
      <c r="B12" s="168">
        <f aca="true" t="shared" si="3" ref="B12:B23">IF(B11=0,"",IF(B11="","",IF(B11+$B$7&lt;=$C$7,B11+$B$7,"")))</f>
        <v>4</v>
      </c>
      <c r="C12" s="169">
        <f t="shared" si="0"/>
        <v>33.33333333333333</v>
      </c>
      <c r="D12" s="170">
        <f t="shared" si="1"/>
        <v>22</v>
      </c>
      <c r="E12" s="171">
        <f t="shared" si="2"/>
        <v>33119460.394097604</v>
      </c>
      <c r="F12" s="152"/>
    </row>
    <row r="13" spans="2:6" ht="14.25">
      <c r="B13" s="168">
        <f t="shared" si="3"/>
        <v>5</v>
      </c>
      <c r="C13" s="169">
        <f t="shared" si="0"/>
        <v>41.66666666666667</v>
      </c>
      <c r="D13" s="170">
        <f t="shared" si="1"/>
        <v>33</v>
      </c>
      <c r="E13" s="171">
        <f t="shared" si="2"/>
        <v>49679190.59114641</v>
      </c>
      <c r="F13" s="152"/>
    </row>
    <row r="14" spans="2:6" ht="14.25">
      <c r="B14" s="168">
        <f t="shared" si="3"/>
        <v>6</v>
      </c>
      <c r="C14" s="169">
        <f t="shared" si="0"/>
        <v>50</v>
      </c>
      <c r="D14" s="170">
        <f t="shared" si="1"/>
        <v>45</v>
      </c>
      <c r="E14" s="171">
        <f t="shared" si="2"/>
        <v>67744350.80610874</v>
      </c>
      <c r="F14" s="152"/>
    </row>
    <row r="15" spans="2:6" ht="14.25">
      <c r="B15" s="168">
        <f t="shared" si="3"/>
        <v>7</v>
      </c>
      <c r="C15" s="169">
        <f t="shared" si="0"/>
        <v>58.333333333333336</v>
      </c>
      <c r="D15" s="170">
        <f t="shared" si="1"/>
        <v>58</v>
      </c>
      <c r="E15" s="171">
        <f t="shared" si="2"/>
        <v>87314941.0389846</v>
      </c>
      <c r="F15" s="152"/>
    </row>
    <row r="16" spans="2:6" ht="14.25">
      <c r="B16" s="168">
        <f t="shared" si="3"/>
        <v>8</v>
      </c>
      <c r="C16" s="169">
        <f t="shared" si="0"/>
        <v>66.66666666666666</v>
      </c>
      <c r="D16" s="170">
        <f t="shared" si="1"/>
        <v>70</v>
      </c>
      <c r="E16" s="171">
        <f t="shared" si="2"/>
        <v>105380101.25394692</v>
      </c>
      <c r="F16" s="152"/>
    </row>
    <row r="17" spans="2:6" ht="14.25">
      <c r="B17" s="168">
        <f t="shared" si="3"/>
        <v>9</v>
      </c>
      <c r="C17" s="169">
        <f t="shared" si="0"/>
        <v>75</v>
      </c>
      <c r="D17" s="170">
        <f t="shared" si="1"/>
        <v>82</v>
      </c>
      <c r="E17" s="171">
        <f t="shared" si="2"/>
        <v>123445261.46890926</v>
      </c>
      <c r="F17" s="152"/>
    </row>
    <row r="18" spans="2:6" ht="14.25">
      <c r="B18" s="168">
        <f t="shared" si="3"/>
        <v>10</v>
      </c>
      <c r="C18" s="169">
        <f t="shared" si="0"/>
        <v>83.33333333333334</v>
      </c>
      <c r="D18" s="170">
        <f t="shared" si="1"/>
        <v>92</v>
      </c>
      <c r="E18" s="171">
        <f t="shared" si="2"/>
        <v>138499561.64804453</v>
      </c>
      <c r="F18" s="152"/>
    </row>
    <row r="19" spans="2:6" ht="14.25">
      <c r="B19" s="168">
        <f t="shared" si="3"/>
        <v>11</v>
      </c>
      <c r="C19" s="169">
        <f t="shared" si="0"/>
        <v>91.66666666666666</v>
      </c>
      <c r="D19" s="170">
        <f t="shared" si="1"/>
        <v>98</v>
      </c>
      <c r="E19" s="171">
        <f t="shared" si="2"/>
        <v>147532141.7555257</v>
      </c>
      <c r="F19" s="152"/>
    </row>
    <row r="20" spans="2:5" ht="14.25">
      <c r="B20" s="168">
        <f t="shared" si="3"/>
        <v>12</v>
      </c>
      <c r="C20" s="169">
        <f t="shared" si="0"/>
        <v>100</v>
      </c>
      <c r="D20" s="170">
        <f t="shared" si="1"/>
        <v>100</v>
      </c>
      <c r="E20" s="171">
        <f t="shared" si="2"/>
        <v>150543001.79135275</v>
      </c>
    </row>
    <row r="21" spans="2:5" ht="14.25">
      <c r="B21" s="168">
        <f t="shared" si="3"/>
      </c>
      <c r="C21" s="169">
        <f t="shared" si="0"/>
      </c>
      <c r="D21" s="170">
        <f t="shared" si="1"/>
      </c>
      <c r="E21" s="171">
        <f t="shared" si="2"/>
      </c>
    </row>
    <row r="22" spans="2:5" ht="14.25">
      <c r="B22" s="168">
        <f t="shared" si="3"/>
      </c>
      <c r="C22" s="169">
        <f t="shared" si="0"/>
      </c>
      <c r="D22" s="170">
        <f t="shared" si="1"/>
      </c>
      <c r="E22" s="171">
        <f t="shared" si="2"/>
      </c>
    </row>
    <row r="23" spans="2:5" ht="14.25">
      <c r="B23" s="168">
        <f t="shared" si="3"/>
      </c>
      <c r="C23" s="169">
        <f t="shared" si="0"/>
      </c>
      <c r="D23" s="170">
        <f t="shared" si="1"/>
      </c>
      <c r="E23" s="171">
        <f t="shared" si="2"/>
      </c>
    </row>
    <row r="24" spans="2:9" ht="14.25">
      <c r="B24" s="168">
        <f>IF(B23=0,"",IF(B23="","",IF(B23+$B$7&lt;=$C$7,B23+$B$7,"")))</f>
      </c>
      <c r="C24" s="169">
        <f t="shared" si="0"/>
      </c>
      <c r="D24" s="170">
        <f t="shared" si="1"/>
      </c>
      <c r="E24" s="171">
        <f>+IF(C24&lt;&gt;"",D24*$E$7/100,"")</f>
      </c>
      <c r="I24" s="147" t="s">
        <v>748</v>
      </c>
    </row>
    <row r="25" spans="4:5" ht="14.25">
      <c r="D25" s="150"/>
      <c r="E25" s="177" t="s">
        <v>759</v>
      </c>
    </row>
    <row r="26" spans="2:5" ht="14.25">
      <c r="B26" s="151">
        <f>IF(B25+$B$7&lt;=$C$7,B25+$B$7,0)</f>
        <v>1</v>
      </c>
      <c r="D26" s="150"/>
      <c r="E26" s="150"/>
    </row>
    <row r="32" ht="12.75">
      <c r="B32" s="147"/>
    </row>
    <row r="43" spans="2:12" ht="12.75">
      <c r="B43" s="147"/>
      <c r="L43" s="14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119" r:id="rId2"/>
  <headerFooter>
    <oddHeader>&amp;CAnálisis de Costos - Área de Estudios Previos</oddHeader>
    <oddFooter>&amp;L16/02/2010&amp;R0</oddFooter>
  </headerFooter>
  <drawing r:id="rId1"/>
</worksheet>
</file>

<file path=xl/worksheets/sheet14.xml><?xml version="1.0" encoding="utf-8"?>
<worksheet xmlns="http://schemas.openxmlformats.org/spreadsheetml/2006/main" xmlns:r="http://schemas.openxmlformats.org/officeDocument/2006/relationships">
  <sheetPr codeName="Hoja13"/>
  <dimension ref="A1:I26"/>
  <sheetViews>
    <sheetView zoomScale="115" zoomScaleNormal="115" zoomScalePageLayoutView="0" workbookViewId="0" topLeftCell="A1">
      <selection activeCell="M31" sqref="M31"/>
    </sheetView>
  </sheetViews>
  <sheetFormatPr defaultColWidth="12" defaultRowHeight="12.75"/>
  <cols>
    <col min="1" max="1" width="4.83203125" style="0" bestFit="1" customWidth="1"/>
    <col min="2" max="2" width="28.66015625" style="0" customWidth="1"/>
    <col min="3" max="3" width="9.5" style="0" hidden="1" customWidth="1"/>
    <col min="4" max="4" width="11.33203125" style="0" bestFit="1" customWidth="1"/>
    <col min="5" max="5" width="13" style="0" customWidth="1"/>
    <col min="6" max="6" width="14.5" style="0" bestFit="1" customWidth="1"/>
    <col min="7" max="7" width="12.66015625" style="0" bestFit="1" customWidth="1"/>
    <col min="9" max="9" width="15" style="0" customWidth="1"/>
  </cols>
  <sheetData>
    <row r="1" ht="20.25">
      <c r="B1" s="95" t="s">
        <v>694</v>
      </c>
    </row>
    <row r="2" ht="13.5">
      <c r="B2" s="93" t="s">
        <v>692</v>
      </c>
    </row>
    <row r="3" spans="2:5" ht="12.75">
      <c r="B3" s="94" t="s">
        <v>693</v>
      </c>
      <c r="E3" s="16" t="s">
        <v>751</v>
      </c>
    </row>
    <row r="5" spans="1:3" ht="25.5">
      <c r="A5" s="16" t="s">
        <v>696</v>
      </c>
      <c r="B5" s="97" t="s">
        <v>695</v>
      </c>
      <c r="C5" s="16" t="s">
        <v>697</v>
      </c>
    </row>
    <row r="6" ht="12.75">
      <c r="B6" s="96"/>
    </row>
    <row r="7" spans="1:3" ht="13.5">
      <c r="A7" s="97" t="s">
        <v>700</v>
      </c>
      <c r="B7" s="98">
        <f>+B9*C7</f>
        <v>2466199.70037989</v>
      </c>
      <c r="C7" s="99">
        <v>1.4285714285714286</v>
      </c>
    </row>
    <row r="8" spans="1:3" ht="13.5">
      <c r="A8" s="97" t="s">
        <v>699</v>
      </c>
      <c r="B8" s="98">
        <f>+B9*C8</f>
        <v>2101750.1891015284</v>
      </c>
      <c r="C8" s="99">
        <v>1.2174603174603174</v>
      </c>
    </row>
    <row r="9" spans="1:3" ht="13.5">
      <c r="A9" s="97" t="s">
        <v>698</v>
      </c>
      <c r="B9" s="98">
        <f>MAX(TarifaMT!U15:W15)</f>
        <v>1726339.790265923</v>
      </c>
      <c r="C9" s="24" t="s">
        <v>70</v>
      </c>
    </row>
    <row r="10" ht="13.5" thickBot="1"/>
    <row r="11" spans="2:9" ht="39.75" thickBot="1">
      <c r="B11" s="174" t="s">
        <v>752</v>
      </c>
      <c r="C11" s="104"/>
      <c r="D11" s="116" t="s">
        <v>718</v>
      </c>
      <c r="E11" s="117" t="s">
        <v>717</v>
      </c>
      <c r="F11" s="118" t="s">
        <v>716</v>
      </c>
      <c r="G11" s="120" t="s">
        <v>702</v>
      </c>
      <c r="H11" s="119" t="s">
        <v>703</v>
      </c>
      <c r="I11" s="119" t="s">
        <v>715</v>
      </c>
    </row>
    <row r="12" spans="2:9" ht="13.5">
      <c r="B12" s="141" t="s">
        <v>714</v>
      </c>
      <c r="C12" s="105"/>
      <c r="D12" s="113">
        <v>2250000</v>
      </c>
      <c r="E12" s="114">
        <v>2040000</v>
      </c>
      <c r="F12" s="115">
        <f>+(D12+E12)*F16</f>
        <v>9222108.63215849</v>
      </c>
      <c r="G12" s="103">
        <f>MAX(TarifaMT!U$21:Y$21)</f>
        <v>945376.551812291</v>
      </c>
      <c r="H12" s="103">
        <f>+G12+F12</f>
        <v>10167485.183970781</v>
      </c>
      <c r="I12" s="1066">
        <f>0.5*(H12+H13)</f>
        <v>10651162.21013294</v>
      </c>
    </row>
    <row r="13" spans="2:9" ht="13.5">
      <c r="B13" s="142" t="s">
        <v>701</v>
      </c>
      <c r="C13" s="106"/>
      <c r="D13" s="108">
        <v>2700000</v>
      </c>
      <c r="E13" s="109">
        <v>2040000</v>
      </c>
      <c r="F13" s="115">
        <f>+(D13+E13)*F16</f>
        <v>10189462.684482807</v>
      </c>
      <c r="G13" s="100">
        <f>MAX(TarifaMT!U$21:Y$21)</f>
        <v>945376.551812291</v>
      </c>
      <c r="H13" s="100">
        <f>+G13+F13</f>
        <v>11134839.236295098</v>
      </c>
      <c r="I13" s="1067"/>
    </row>
    <row r="14" spans="2:9" ht="6.75" customHeight="1" thickBot="1">
      <c r="B14" s="101"/>
      <c r="C14" s="107"/>
      <c r="D14" s="110"/>
      <c r="E14" s="111"/>
      <c r="F14" s="112"/>
      <c r="G14" s="102"/>
      <c r="H14" s="102"/>
      <c r="I14" s="102"/>
    </row>
    <row r="15" ht="13.5" thickBot="1"/>
    <row r="16" spans="2:6" ht="14.25" thickBot="1">
      <c r="B16" s="138" t="s">
        <v>704</v>
      </c>
      <c r="C16" s="128"/>
      <c r="D16" s="129" t="s">
        <v>712</v>
      </c>
      <c r="E16" s="130" t="s">
        <v>713</v>
      </c>
      <c r="F16" s="146">
        <f>MAX(TarifaMT!U$21:Y$21)/TarifaMT!$E$21</f>
        <v>2.1496756718318157</v>
      </c>
    </row>
    <row r="17" spans="2:7" ht="14.25" thickBot="1">
      <c r="B17" s="135" t="s">
        <v>20</v>
      </c>
      <c r="C17" s="126"/>
      <c r="D17" s="114">
        <v>780000</v>
      </c>
      <c r="E17" s="127">
        <f>+D17*$F$16</f>
        <v>1676747.0240288163</v>
      </c>
      <c r="F17" s="176"/>
      <c r="G17" s="1068">
        <f>+ROUND(E17+E19+E20,-2)</f>
        <v>2290700</v>
      </c>
    </row>
    <row r="18" spans="2:7" ht="13.5">
      <c r="B18" s="136" t="s">
        <v>705</v>
      </c>
      <c r="C18" s="121"/>
      <c r="D18" s="109">
        <v>734400</v>
      </c>
      <c r="E18" s="172">
        <f>+D18*$F$16</f>
        <v>1578721.8133932855</v>
      </c>
      <c r="F18" s="1068">
        <f>+ROUND(E18+E19+E20,-2)</f>
        <v>2192700</v>
      </c>
      <c r="G18" s="1069"/>
    </row>
    <row r="19" spans="2:7" ht="13.5">
      <c r="B19" s="136" t="s">
        <v>706</v>
      </c>
      <c r="C19" s="121"/>
      <c r="D19" s="109">
        <v>183600</v>
      </c>
      <c r="E19" s="172">
        <f>+D19*$F$16</f>
        <v>394680.4533483214</v>
      </c>
      <c r="F19" s="1069"/>
      <c r="G19" s="1069"/>
    </row>
    <row r="20" spans="2:7" ht="14.25" thickBot="1">
      <c r="B20" s="137" t="s">
        <v>707</v>
      </c>
      <c r="C20" s="123"/>
      <c r="D20" s="124">
        <v>102000</v>
      </c>
      <c r="E20" s="173">
        <f>+D20*$F$16</f>
        <v>219266.9185268452</v>
      </c>
      <c r="F20" s="1070"/>
      <c r="G20" s="1070"/>
    </row>
    <row r="21" ht="13.5" thickBot="1">
      <c r="B21" s="16"/>
    </row>
    <row r="22" spans="2:5" ht="14.25" thickBot="1">
      <c r="B22" s="138" t="s">
        <v>704</v>
      </c>
      <c r="C22" s="128"/>
      <c r="D22" s="129" t="s">
        <v>712</v>
      </c>
      <c r="E22" s="130" t="s">
        <v>713</v>
      </c>
    </row>
    <row r="23" spans="2:6" ht="13.5">
      <c r="B23" s="143" t="s">
        <v>708</v>
      </c>
      <c r="C23" s="144"/>
      <c r="D23" s="145">
        <v>1800000</v>
      </c>
      <c r="E23" s="175">
        <f>+ROUND(D23*$F$16,-2)</f>
        <v>3869400</v>
      </c>
      <c r="F23" s="49"/>
    </row>
    <row r="24" spans="2:6" ht="13.5">
      <c r="B24" s="139" t="s">
        <v>709</v>
      </c>
      <c r="C24" s="131"/>
      <c r="D24" s="132">
        <v>1080000</v>
      </c>
      <c r="E24" s="122">
        <f>+D24*$F$16</f>
        <v>2321649.725578361</v>
      </c>
      <c r="F24" s="49"/>
    </row>
    <row r="25" spans="2:5" ht="13.5">
      <c r="B25" s="139" t="s">
        <v>710</v>
      </c>
      <c r="C25" s="131"/>
      <c r="D25" s="132">
        <v>2040000</v>
      </c>
      <c r="E25" s="122">
        <f>+D25*$F$16</f>
        <v>4385338.370536904</v>
      </c>
    </row>
    <row r="26" spans="2:5" ht="14.25" thickBot="1">
      <c r="B26" s="140" t="s">
        <v>711</v>
      </c>
      <c r="C26" s="133"/>
      <c r="D26" s="134">
        <v>4080000</v>
      </c>
      <c r="E26" s="125">
        <f>+D26*$F$16</f>
        <v>8770676.741073808</v>
      </c>
    </row>
  </sheetData>
  <sheetProtection/>
  <mergeCells count="3">
    <mergeCell ref="I12:I13"/>
    <mergeCell ref="F18:F20"/>
    <mergeCell ref="G17:G20"/>
  </mergeCells>
  <hyperlinks>
    <hyperlink ref="B3" r:id="rId1" display="http://www.cpnt.org/resolucion.php?id=1&amp;PHPSESSID=67138a5f51d74184bbd0b3b7d69a2210"/>
  </hyperlinks>
  <printOptions/>
  <pageMargins left="0.7" right="0.7" top="0.75" bottom="0.75" header="0.3" footer="0.3"/>
  <pageSetup horizontalDpi="600" verticalDpi="600" orientation="portrait" r:id="rId2"/>
  <headerFooter>
    <oddHeader>&amp;CAnálisis de Costos - Área de Estudios Previos</oddHeader>
    <oddFooter>&amp;L16/02/2010&amp;R0</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X36"/>
  <sheetViews>
    <sheetView showGridLines="0" zoomScalePageLayoutView="0" workbookViewId="0" topLeftCell="P1">
      <selection activeCell="U12" sqref="U12"/>
    </sheetView>
  </sheetViews>
  <sheetFormatPr defaultColWidth="12" defaultRowHeight="12.75" outlineLevelCol="1"/>
  <cols>
    <col min="1" max="1" width="19.5" style="393" customWidth="1"/>
    <col min="2" max="2" width="11.5" style="393" bestFit="1" customWidth="1"/>
    <col min="3" max="3" width="15.33203125" style="394" bestFit="1" customWidth="1"/>
    <col min="4" max="8" width="15.33203125" style="394" customWidth="1" outlineLevel="1"/>
    <col min="9" max="9" width="15.33203125" style="395" bestFit="1" customWidth="1"/>
    <col min="10" max="13" width="15.33203125" style="394" bestFit="1" customWidth="1"/>
    <col min="14" max="21" width="16.66015625" style="394" bestFit="1" customWidth="1"/>
    <col min="22" max="22" width="26.16015625" style="394" customWidth="1"/>
    <col min="23" max="23" width="234.66015625" style="394" bestFit="1" customWidth="1"/>
    <col min="24" max="16384" width="12" style="394" customWidth="1"/>
  </cols>
  <sheetData>
    <row r="1" spans="1:21" s="357" customFormat="1" ht="12.75">
      <c r="A1" s="928" t="s">
        <v>0</v>
      </c>
      <c r="B1" s="928"/>
      <c r="C1" s="928"/>
      <c r="D1" s="928"/>
      <c r="E1" s="928"/>
      <c r="F1" s="928"/>
      <c r="G1" s="928"/>
      <c r="H1" s="928"/>
      <c r="I1" s="928"/>
      <c r="J1" s="928"/>
      <c r="K1" s="928"/>
      <c r="N1" s="392" t="e">
        <f>+N5/#REF!</f>
        <v>#REF!</v>
      </c>
      <c r="O1" s="392" t="e">
        <f>+O5/A5</f>
        <v>#VALUE!</v>
      </c>
      <c r="P1" s="392" t="e">
        <f>+P5/B5</f>
        <v>#DIV/0!</v>
      </c>
      <c r="Q1" s="392" t="e">
        <f>+Q5/B5</f>
        <v>#DIV/0!</v>
      </c>
      <c r="R1" s="392" t="e">
        <f>+R5/B5</f>
        <v>#DIV/0!</v>
      </c>
      <c r="S1" s="392" t="e">
        <f>+S5/B5</f>
        <v>#DIV/0!</v>
      </c>
      <c r="T1" s="392" t="e">
        <f>+T5/B5</f>
        <v>#DIV/0!</v>
      </c>
      <c r="U1" s="392">
        <f>+U5/C5</f>
        <v>2.7402218893109893</v>
      </c>
    </row>
    <row r="2" spans="1:21" s="282" customFormat="1" ht="12.75">
      <c r="A2" s="393"/>
      <c r="B2" s="393"/>
      <c r="C2" s="394"/>
      <c r="D2" s="394"/>
      <c r="E2" s="394"/>
      <c r="F2" s="394"/>
      <c r="G2" s="394"/>
      <c r="H2" s="394"/>
      <c r="I2" s="395"/>
      <c r="L2" s="396"/>
      <c r="M2" s="396"/>
      <c r="N2" s="397">
        <v>14</v>
      </c>
      <c r="O2" s="397">
        <v>14</v>
      </c>
      <c r="P2" s="397">
        <v>14</v>
      </c>
      <c r="Q2" s="397">
        <v>14</v>
      </c>
      <c r="R2" s="397">
        <v>14</v>
      </c>
      <c r="S2" s="397">
        <v>14</v>
      </c>
      <c r="T2" s="397">
        <v>14</v>
      </c>
      <c r="U2" s="397">
        <v>14</v>
      </c>
    </row>
    <row r="3" spans="1:21" s="282" customFormat="1" ht="15">
      <c r="A3" s="398" t="s">
        <v>636</v>
      </c>
      <c r="B3" s="398"/>
      <c r="C3" s="399">
        <v>1998</v>
      </c>
      <c r="D3" s="399">
        <f>+C3+1</f>
        <v>1999</v>
      </c>
      <c r="E3" s="399">
        <f aca="true" t="shared" si="0" ref="E3:L3">+D3+1</f>
        <v>2000</v>
      </c>
      <c r="F3" s="399">
        <f t="shared" si="0"/>
        <v>2001</v>
      </c>
      <c r="G3" s="399">
        <f t="shared" si="0"/>
        <v>2002</v>
      </c>
      <c r="H3" s="399">
        <f t="shared" si="0"/>
        <v>2003</v>
      </c>
      <c r="I3" s="400">
        <f t="shared" si="0"/>
        <v>2004</v>
      </c>
      <c r="J3" s="401">
        <f t="shared" si="0"/>
        <v>2005</v>
      </c>
      <c r="K3" s="402">
        <f t="shared" si="0"/>
        <v>2006</v>
      </c>
      <c r="L3" s="402">
        <f t="shared" si="0"/>
        <v>2007</v>
      </c>
      <c r="M3" s="403">
        <f>+L3+1</f>
        <v>2008</v>
      </c>
      <c r="N3" s="404">
        <v>2009</v>
      </c>
      <c r="O3" s="404">
        <v>2010</v>
      </c>
      <c r="P3" s="404">
        <v>2011</v>
      </c>
      <c r="Q3" s="404">
        <v>2012</v>
      </c>
      <c r="R3" s="404">
        <v>2013</v>
      </c>
      <c r="S3" s="404">
        <v>2014</v>
      </c>
      <c r="T3" s="404">
        <v>2015</v>
      </c>
      <c r="U3" s="404">
        <v>2016</v>
      </c>
    </row>
    <row r="4" spans="1:23" s="282" customFormat="1" ht="12.75">
      <c r="A4" s="274" t="s">
        <v>762</v>
      </c>
      <c r="B4" s="398"/>
      <c r="C4" s="405">
        <v>0.167</v>
      </c>
      <c r="D4" s="406">
        <v>0.0923</v>
      </c>
      <c r="E4" s="406">
        <v>0.0875</v>
      </c>
      <c r="F4" s="406">
        <v>0.0765</v>
      </c>
      <c r="G4" s="406">
        <v>0.0699</v>
      </c>
      <c r="H4" s="406">
        <v>0.0649</v>
      </c>
      <c r="I4" s="406">
        <v>0.055</v>
      </c>
      <c r="J4" s="407">
        <v>0.0485</v>
      </c>
      <c r="K4" s="407">
        <v>0.0448</v>
      </c>
      <c r="L4" s="407">
        <v>0.0569</v>
      </c>
      <c r="M4" s="408">
        <v>0.0767</v>
      </c>
      <c r="N4" s="900">
        <v>0.02</v>
      </c>
      <c r="O4" s="900">
        <v>0.0317</v>
      </c>
      <c r="P4" s="900">
        <v>0.0373</v>
      </c>
      <c r="Q4" s="900">
        <v>0.0244</v>
      </c>
      <c r="R4" s="900">
        <v>0.026</v>
      </c>
      <c r="S4" s="900">
        <v>0.035</v>
      </c>
      <c r="T4" s="900">
        <v>0.032</v>
      </c>
      <c r="U4" s="900">
        <v>0</v>
      </c>
      <c r="W4" s="409"/>
    </row>
    <row r="5" spans="1:24" s="282" customFormat="1" ht="12.75">
      <c r="A5" s="398" t="s">
        <v>2</v>
      </c>
      <c r="B5" s="398"/>
      <c r="C5" s="410">
        <v>3577000</v>
      </c>
      <c r="D5" s="410">
        <f>+C5*(1+C$4)</f>
        <v>4174359</v>
      </c>
      <c r="E5" s="410">
        <f>+D5*(1+D$4)</f>
        <v>4559652.335700001</v>
      </c>
      <c r="F5" s="410">
        <f aca="true" t="shared" si="1" ref="F5:L5">+E5*(1+E$4)</f>
        <v>4958621.915073751</v>
      </c>
      <c r="G5" s="410">
        <f t="shared" si="1"/>
        <v>5337956.491576892</v>
      </c>
      <c r="H5" s="410">
        <f t="shared" si="1"/>
        <v>5711079.650338117</v>
      </c>
      <c r="I5" s="410">
        <f t="shared" si="1"/>
        <v>6081728.719645061</v>
      </c>
      <c r="J5" s="410">
        <f t="shared" si="1"/>
        <v>6416223.799225539</v>
      </c>
      <c r="K5" s="410">
        <f t="shared" si="1"/>
        <v>6727410.653487978</v>
      </c>
      <c r="L5" s="410">
        <f t="shared" si="1"/>
        <v>7028798.650764239</v>
      </c>
      <c r="M5" s="410">
        <f aca="true" t="shared" si="2" ref="M5:U5">+L5*(1+L$4)</f>
        <v>7428737.293992724</v>
      </c>
      <c r="N5" s="410">
        <f t="shared" si="2"/>
        <v>7998521.444441966</v>
      </c>
      <c r="O5" s="410">
        <f t="shared" si="2"/>
        <v>8158491.873330805</v>
      </c>
      <c r="P5" s="410">
        <f t="shared" si="2"/>
        <v>8417116.065715393</v>
      </c>
      <c r="Q5" s="410">
        <f t="shared" si="2"/>
        <v>8731074.494966578</v>
      </c>
      <c r="R5" s="410">
        <f t="shared" si="2"/>
        <v>8944112.712643761</v>
      </c>
      <c r="S5" s="410">
        <f t="shared" si="2"/>
        <v>9176659.643172499</v>
      </c>
      <c r="T5" s="410">
        <f t="shared" si="2"/>
        <v>9497842.730683535</v>
      </c>
      <c r="U5" s="410">
        <f t="shared" si="2"/>
        <v>9801773.69806541</v>
      </c>
      <c r="W5" s="409"/>
      <c r="X5" s="411"/>
    </row>
    <row r="6" spans="1:24" s="282" customFormat="1" ht="12.75">
      <c r="A6" s="398" t="s">
        <v>3</v>
      </c>
      <c r="B6" s="398"/>
      <c r="C6" s="410">
        <v>2726000</v>
      </c>
      <c r="D6" s="410">
        <f aca="true" t="shared" si="3" ref="D6:M6">+C6*(1+C$4)</f>
        <v>3181242</v>
      </c>
      <c r="E6" s="410">
        <f t="shared" si="3"/>
        <v>3474870.6366000003</v>
      </c>
      <c r="F6" s="410">
        <f t="shared" si="3"/>
        <v>3778921.8173025</v>
      </c>
      <c r="G6" s="410">
        <f t="shared" si="3"/>
        <v>4068009.3363261414</v>
      </c>
      <c r="H6" s="410">
        <f t="shared" si="3"/>
        <v>4352363.1889353385</v>
      </c>
      <c r="I6" s="410">
        <f t="shared" si="3"/>
        <v>4634831.559897242</v>
      </c>
      <c r="J6" s="410">
        <f t="shared" si="3"/>
        <v>4889747.29569159</v>
      </c>
      <c r="K6" s="410">
        <f t="shared" si="3"/>
        <v>5126900.039532632</v>
      </c>
      <c r="L6" s="410">
        <f t="shared" si="3"/>
        <v>5356585.161303693</v>
      </c>
      <c r="M6" s="410">
        <f t="shared" si="3"/>
        <v>5661374.8569818735</v>
      </c>
      <c r="N6" s="410">
        <f>+M6*(1+M$4)</f>
        <v>6095602.308512383</v>
      </c>
      <c r="O6" s="410">
        <f>+N6*(1+N$4)</f>
        <v>6217514.354682631</v>
      </c>
      <c r="P6" s="410">
        <f>+O6*(1+O$4)</f>
        <v>6414609.559726071</v>
      </c>
      <c r="Q6" s="410">
        <f aca="true" t="shared" si="4" ref="Q6:Q36">+P6*(1+P$4)</f>
        <v>6653874.496303854</v>
      </c>
      <c r="R6" s="410">
        <f aca="true" t="shared" si="5" ref="R6:R36">+Q6*(1+Q$4)</f>
        <v>6816229.034013667</v>
      </c>
      <c r="S6" s="410">
        <f aca="true" t="shared" si="6" ref="S6:U36">+R6*(1+R$4)</f>
        <v>6993450.988898023</v>
      </c>
      <c r="T6" s="410">
        <f t="shared" si="6"/>
        <v>7238221.773509453</v>
      </c>
      <c r="U6" s="410">
        <f t="shared" si="6"/>
        <v>7469844.870261756</v>
      </c>
      <c r="W6" s="409"/>
      <c r="X6" s="411"/>
    </row>
    <row r="7" spans="1:24" s="282" customFormat="1" ht="12.75">
      <c r="A7" s="398" t="s">
        <v>4</v>
      </c>
      <c r="B7" s="398"/>
      <c r="C7" s="410">
        <v>2300000</v>
      </c>
      <c r="D7" s="410">
        <f aca="true" t="shared" si="7" ref="D7:P7">+C7*(1+C$4)</f>
        <v>2684100</v>
      </c>
      <c r="E7" s="410">
        <f t="shared" si="7"/>
        <v>2931842.43</v>
      </c>
      <c r="F7" s="410">
        <f t="shared" si="7"/>
        <v>3188378.642625</v>
      </c>
      <c r="G7" s="410">
        <f t="shared" si="7"/>
        <v>3432289.6087858123</v>
      </c>
      <c r="H7" s="410">
        <f t="shared" si="7"/>
        <v>3672206.6524399407</v>
      </c>
      <c r="I7" s="410">
        <f t="shared" si="7"/>
        <v>3910532.8641832927</v>
      </c>
      <c r="J7" s="410">
        <f t="shared" si="7"/>
        <v>4125612.1717133736</v>
      </c>
      <c r="K7" s="410">
        <f t="shared" si="7"/>
        <v>4325704.362041472</v>
      </c>
      <c r="L7" s="410">
        <f t="shared" si="7"/>
        <v>4519495.9174609305</v>
      </c>
      <c r="M7" s="410">
        <f t="shared" si="7"/>
        <v>4776655.235164457</v>
      </c>
      <c r="N7" s="410">
        <f t="shared" si="7"/>
        <v>5143024.6917015705</v>
      </c>
      <c r="O7" s="410">
        <f t="shared" si="7"/>
        <v>5245885.185535602</v>
      </c>
      <c r="P7" s="410">
        <f t="shared" si="7"/>
        <v>5412179.745917081</v>
      </c>
      <c r="Q7" s="410">
        <f t="shared" si="4"/>
        <v>5614054.050439789</v>
      </c>
      <c r="R7" s="410">
        <f t="shared" si="5"/>
        <v>5751036.96927052</v>
      </c>
      <c r="S7" s="410">
        <f t="shared" si="6"/>
        <v>5900563.9304715535</v>
      </c>
      <c r="T7" s="410">
        <f t="shared" si="6"/>
        <v>6107083.668038057</v>
      </c>
      <c r="U7" s="410">
        <f t="shared" si="6"/>
        <v>6302510.345415276</v>
      </c>
      <c r="W7" s="409"/>
      <c r="X7" s="411"/>
    </row>
    <row r="8" spans="1:24" s="282" customFormat="1" ht="12.75">
      <c r="A8" s="398" t="s">
        <v>5</v>
      </c>
      <c r="B8" s="398"/>
      <c r="C8" s="410">
        <v>1959000</v>
      </c>
      <c r="D8" s="410">
        <f aca="true" t="shared" si="8" ref="D8:P8">+C8*(1+C$4)</f>
        <v>2286153</v>
      </c>
      <c r="E8" s="410">
        <f t="shared" si="8"/>
        <v>2497164.9219</v>
      </c>
      <c r="F8" s="410">
        <f t="shared" si="8"/>
        <v>2715666.8525662497</v>
      </c>
      <c r="G8" s="410">
        <f t="shared" si="8"/>
        <v>2923415.3667875677</v>
      </c>
      <c r="H8" s="410">
        <f t="shared" si="8"/>
        <v>3127762.100926019</v>
      </c>
      <c r="I8" s="410">
        <f t="shared" si="8"/>
        <v>3330753.861276117</v>
      </c>
      <c r="J8" s="410">
        <f t="shared" si="8"/>
        <v>3513945.3236463033</v>
      </c>
      <c r="K8" s="410">
        <f t="shared" si="8"/>
        <v>3684371.671843149</v>
      </c>
      <c r="L8" s="410">
        <f t="shared" si="8"/>
        <v>3849431.5227417215</v>
      </c>
      <c r="M8" s="410">
        <f t="shared" si="8"/>
        <v>4068464.1763857254</v>
      </c>
      <c r="N8" s="410">
        <f t="shared" si="8"/>
        <v>4380515.37871451</v>
      </c>
      <c r="O8" s="410">
        <f t="shared" si="8"/>
        <v>4468125.6862888</v>
      </c>
      <c r="P8" s="410">
        <f t="shared" si="8"/>
        <v>4609765.2705441555</v>
      </c>
      <c r="Q8" s="410">
        <f t="shared" si="4"/>
        <v>4781709.515135453</v>
      </c>
      <c r="R8" s="410">
        <f t="shared" si="5"/>
        <v>4898383.227304758</v>
      </c>
      <c r="S8" s="410">
        <f t="shared" si="6"/>
        <v>5025741.191214682</v>
      </c>
      <c r="T8" s="410">
        <f t="shared" si="6"/>
        <v>5201642.132907195</v>
      </c>
      <c r="U8" s="410">
        <f t="shared" si="6"/>
        <v>5368094.6811602255</v>
      </c>
      <c r="W8" s="409"/>
      <c r="X8" s="411"/>
    </row>
    <row r="9" spans="1:24" s="282" customFormat="1" ht="12.75">
      <c r="A9" s="398" t="s">
        <v>6</v>
      </c>
      <c r="B9" s="398"/>
      <c r="C9" s="410">
        <v>1767000</v>
      </c>
      <c r="D9" s="410">
        <f aca="true" t="shared" si="9" ref="D9:P9">+C9*(1+C$4)</f>
        <v>2062089</v>
      </c>
      <c r="E9" s="410">
        <f t="shared" si="9"/>
        <v>2252419.8147</v>
      </c>
      <c r="F9" s="410">
        <f t="shared" si="9"/>
        <v>2449506.54848625</v>
      </c>
      <c r="G9" s="410">
        <f t="shared" si="9"/>
        <v>2636893.799445448</v>
      </c>
      <c r="H9" s="410">
        <f t="shared" si="9"/>
        <v>2821212.676026685</v>
      </c>
      <c r="I9" s="410">
        <f t="shared" si="9"/>
        <v>3004309.378700817</v>
      </c>
      <c r="J9" s="410">
        <f t="shared" si="9"/>
        <v>3169546.3945293617</v>
      </c>
      <c r="K9" s="410">
        <f t="shared" si="9"/>
        <v>3323269.3946640356</v>
      </c>
      <c r="L9" s="410">
        <f t="shared" si="9"/>
        <v>3472151.8635449843</v>
      </c>
      <c r="M9" s="410">
        <f t="shared" si="9"/>
        <v>3669717.3045806936</v>
      </c>
      <c r="N9" s="410">
        <f t="shared" si="9"/>
        <v>3951184.6218420328</v>
      </c>
      <c r="O9" s="410">
        <f t="shared" si="9"/>
        <v>4030208.3142788736</v>
      </c>
      <c r="P9" s="410">
        <f t="shared" si="9"/>
        <v>4157965.917841514</v>
      </c>
      <c r="Q9" s="410">
        <f t="shared" si="4"/>
        <v>4313058.046577003</v>
      </c>
      <c r="R9" s="410">
        <f t="shared" si="5"/>
        <v>4418296.662913482</v>
      </c>
      <c r="S9" s="410">
        <f t="shared" si="6"/>
        <v>4533172.3761492325</v>
      </c>
      <c r="T9" s="410">
        <f t="shared" si="6"/>
        <v>4691833.409314455</v>
      </c>
      <c r="U9" s="410">
        <f t="shared" si="6"/>
        <v>4841972.078412518</v>
      </c>
      <c r="W9" s="409"/>
      <c r="X9" s="411"/>
    </row>
    <row r="10" spans="1:24" s="282" customFormat="1" ht="12.75">
      <c r="A10" s="398" t="s">
        <v>7</v>
      </c>
      <c r="B10" s="398"/>
      <c r="C10" s="410">
        <v>1576000</v>
      </c>
      <c r="D10" s="410">
        <f aca="true" t="shared" si="10" ref="D10:P10">+C10*(1+C$4)</f>
        <v>1839192</v>
      </c>
      <c r="E10" s="410">
        <f t="shared" si="10"/>
        <v>2008949.4216</v>
      </c>
      <c r="F10" s="410">
        <f t="shared" si="10"/>
        <v>2184732.4959899997</v>
      </c>
      <c r="G10" s="410">
        <f t="shared" si="10"/>
        <v>2351864.5319332345</v>
      </c>
      <c r="H10" s="410">
        <f t="shared" si="10"/>
        <v>2516259.8627153677</v>
      </c>
      <c r="I10" s="410">
        <f t="shared" si="10"/>
        <v>2679565.127805595</v>
      </c>
      <c r="J10" s="410">
        <f t="shared" si="10"/>
        <v>2826941.2098349025</v>
      </c>
      <c r="K10" s="410">
        <f t="shared" si="10"/>
        <v>2964047.8585118954</v>
      </c>
      <c r="L10" s="410">
        <f t="shared" si="10"/>
        <v>3096837.202573228</v>
      </c>
      <c r="M10" s="410">
        <f t="shared" si="10"/>
        <v>3273047.2393996445</v>
      </c>
      <c r="N10" s="410">
        <f t="shared" si="10"/>
        <v>3524089.9626615974</v>
      </c>
      <c r="O10" s="410">
        <f t="shared" si="10"/>
        <v>3594571.7619148293</v>
      </c>
      <c r="P10" s="410">
        <f t="shared" si="10"/>
        <v>3708519.6867675297</v>
      </c>
      <c r="Q10" s="410">
        <f t="shared" si="4"/>
        <v>3846847.471083959</v>
      </c>
      <c r="R10" s="410">
        <f t="shared" si="5"/>
        <v>3940710.5493784077</v>
      </c>
      <c r="S10" s="410">
        <f t="shared" si="6"/>
        <v>4043169.0236622463</v>
      </c>
      <c r="T10" s="410">
        <f t="shared" si="6"/>
        <v>4184679.9394904245</v>
      </c>
      <c r="U10" s="410">
        <f t="shared" si="6"/>
        <v>4318589.697554118</v>
      </c>
      <c r="W10" s="409"/>
      <c r="X10" s="411"/>
    </row>
    <row r="11" spans="1:24" s="282" customFormat="1" ht="12.75">
      <c r="A11" s="398" t="s">
        <v>8</v>
      </c>
      <c r="B11" s="398"/>
      <c r="C11" s="410">
        <v>1192000</v>
      </c>
      <c r="D11" s="410">
        <f aca="true" t="shared" si="11" ref="D11:L11">+C11*(1+C$4)</f>
        <v>1391064</v>
      </c>
      <c r="E11" s="410">
        <f t="shared" si="11"/>
        <v>1519459.2072</v>
      </c>
      <c r="F11" s="410">
        <f t="shared" si="11"/>
        <v>1652411.88783</v>
      </c>
      <c r="G11" s="410">
        <f t="shared" si="11"/>
        <v>1778821.397248995</v>
      </c>
      <c r="H11" s="410">
        <f t="shared" si="11"/>
        <v>1903161.0129167</v>
      </c>
      <c r="I11" s="410">
        <f t="shared" si="11"/>
        <v>2026676.1626549938</v>
      </c>
      <c r="J11" s="410">
        <f t="shared" si="11"/>
        <v>2138143.3516010186</v>
      </c>
      <c r="K11" s="410">
        <f t="shared" si="11"/>
        <v>2241843.3041536678</v>
      </c>
      <c r="L11" s="410">
        <f t="shared" si="11"/>
        <v>2342277.884179752</v>
      </c>
      <c r="M11" s="410">
        <f>+L11*(1+L$4)</f>
        <v>2475553.4957895796</v>
      </c>
      <c r="N11" s="410">
        <f>+M11*(1+M$4)</f>
        <v>2665428.44891664</v>
      </c>
      <c r="O11" s="410">
        <f>+N11*(1+N$4)</f>
        <v>2718737.017894973</v>
      </c>
      <c r="P11" s="410">
        <f>+O11*(1+O$4)</f>
        <v>2804920.9813622436</v>
      </c>
      <c r="Q11" s="410">
        <f t="shared" si="4"/>
        <v>2909544.533967056</v>
      </c>
      <c r="R11" s="410">
        <f t="shared" si="5"/>
        <v>2980537.4205958517</v>
      </c>
      <c r="S11" s="410">
        <f t="shared" si="6"/>
        <v>3058031.393531344</v>
      </c>
      <c r="T11" s="410">
        <f t="shared" si="6"/>
        <v>3165062.4923049407</v>
      </c>
      <c r="U11" s="410">
        <f t="shared" si="6"/>
        <v>3266344.492058699</v>
      </c>
      <c r="W11" s="409"/>
      <c r="X11" s="411"/>
    </row>
    <row r="12" spans="1:24" s="282" customFormat="1" ht="12.75">
      <c r="A12" s="398" t="s">
        <v>9</v>
      </c>
      <c r="B12" s="398"/>
      <c r="C12" s="410">
        <v>1124000</v>
      </c>
      <c r="D12" s="410">
        <f aca="true" t="shared" si="12" ref="D12:P12">+C12*(1+C$4)</f>
        <v>1311708</v>
      </c>
      <c r="E12" s="410">
        <f t="shared" si="12"/>
        <v>1432778.6484</v>
      </c>
      <c r="F12" s="410">
        <f t="shared" si="12"/>
        <v>1558146.780135</v>
      </c>
      <c r="G12" s="410">
        <f t="shared" si="12"/>
        <v>1677345.0088153274</v>
      </c>
      <c r="H12" s="410">
        <f t="shared" si="12"/>
        <v>1794591.424931519</v>
      </c>
      <c r="I12" s="410">
        <f t="shared" si="12"/>
        <v>1911060.4084095745</v>
      </c>
      <c r="J12" s="410">
        <f t="shared" si="12"/>
        <v>2016168.730872101</v>
      </c>
      <c r="K12" s="410">
        <f t="shared" si="12"/>
        <v>2113952.914319398</v>
      </c>
      <c r="L12" s="410">
        <f t="shared" si="12"/>
        <v>2208658.004880907</v>
      </c>
      <c r="M12" s="410">
        <f t="shared" si="12"/>
        <v>2334330.6453586305</v>
      </c>
      <c r="N12" s="410">
        <f t="shared" si="12"/>
        <v>2513373.8058576374</v>
      </c>
      <c r="O12" s="410">
        <f t="shared" si="12"/>
        <v>2563641.28197479</v>
      </c>
      <c r="P12" s="410">
        <f t="shared" si="12"/>
        <v>2644908.7106133914</v>
      </c>
      <c r="Q12" s="410">
        <f t="shared" si="4"/>
        <v>2743563.805519271</v>
      </c>
      <c r="R12" s="410">
        <f t="shared" si="5"/>
        <v>2810506.7623739415</v>
      </c>
      <c r="S12" s="410">
        <f t="shared" si="6"/>
        <v>2883579.938195664</v>
      </c>
      <c r="T12" s="410">
        <f t="shared" si="6"/>
        <v>2984505.236032512</v>
      </c>
      <c r="U12" s="410">
        <f t="shared" si="6"/>
        <v>3080009.4035855527</v>
      </c>
      <c r="W12" s="409"/>
      <c r="X12" s="411"/>
    </row>
    <row r="13" spans="1:23" s="282" customFormat="1" ht="12.75">
      <c r="A13" s="398"/>
      <c r="B13" s="398"/>
      <c r="C13" s="399"/>
      <c r="D13" s="399"/>
      <c r="E13" s="399"/>
      <c r="F13" s="399"/>
      <c r="G13" s="399"/>
      <c r="H13" s="399"/>
      <c r="I13" s="399"/>
      <c r="J13" s="399"/>
      <c r="K13" s="399"/>
      <c r="L13" s="399"/>
      <c r="M13" s="399"/>
      <c r="N13" s="399"/>
      <c r="O13" s="399"/>
      <c r="P13" s="399"/>
      <c r="Q13" s="410">
        <f t="shared" si="4"/>
        <v>0</v>
      </c>
      <c r="R13" s="410">
        <f t="shared" si="5"/>
        <v>0</v>
      </c>
      <c r="S13" s="410">
        <f t="shared" si="6"/>
        <v>0</v>
      </c>
      <c r="T13" s="410">
        <f t="shared" si="6"/>
        <v>0</v>
      </c>
      <c r="U13" s="410">
        <f t="shared" si="6"/>
        <v>0</v>
      </c>
      <c r="W13" s="409"/>
    </row>
    <row r="14" spans="1:23" s="282" customFormat="1" ht="12.75">
      <c r="A14" s="398" t="s">
        <v>69</v>
      </c>
      <c r="B14" s="398" t="s">
        <v>10</v>
      </c>
      <c r="C14" s="410">
        <v>648000</v>
      </c>
      <c r="D14" s="410">
        <f aca="true" t="shared" si="13" ref="D14:P14">+C14*(1+C$4)</f>
        <v>756216</v>
      </c>
      <c r="E14" s="410">
        <f t="shared" si="13"/>
        <v>826014.7368000001</v>
      </c>
      <c r="F14" s="410">
        <f t="shared" si="13"/>
        <v>898291.02627</v>
      </c>
      <c r="G14" s="410">
        <f t="shared" si="13"/>
        <v>967010.289779655</v>
      </c>
      <c r="H14" s="410">
        <f t="shared" si="13"/>
        <v>1034604.309035253</v>
      </c>
      <c r="I14" s="410">
        <f t="shared" si="13"/>
        <v>1101750.128691641</v>
      </c>
      <c r="J14" s="410">
        <f t="shared" si="13"/>
        <v>1162346.385769681</v>
      </c>
      <c r="K14" s="410">
        <f t="shared" si="13"/>
        <v>1218720.1854795106</v>
      </c>
      <c r="L14" s="410">
        <f t="shared" si="13"/>
        <v>1273318.8497889927</v>
      </c>
      <c r="M14" s="410">
        <f t="shared" si="13"/>
        <v>1345770.6923419863</v>
      </c>
      <c r="N14" s="410">
        <f t="shared" si="13"/>
        <v>1448991.3044446167</v>
      </c>
      <c r="O14" s="410">
        <f t="shared" si="13"/>
        <v>1477971.130533509</v>
      </c>
      <c r="P14" s="410">
        <f t="shared" si="13"/>
        <v>1524822.8153714212</v>
      </c>
      <c r="Q14" s="410">
        <f t="shared" si="4"/>
        <v>1581698.7063847752</v>
      </c>
      <c r="R14" s="410">
        <f t="shared" si="5"/>
        <v>1620292.1548205637</v>
      </c>
      <c r="S14" s="410">
        <f t="shared" si="6"/>
        <v>1662419.7508458984</v>
      </c>
      <c r="T14" s="410">
        <f t="shared" si="6"/>
        <v>1720604.4421255046</v>
      </c>
      <c r="U14" s="410">
        <f t="shared" si="6"/>
        <v>1775663.7842735208</v>
      </c>
      <c r="V14" s="394"/>
      <c r="W14" s="394"/>
    </row>
    <row r="15" spans="1:23" s="282" customFormat="1" ht="12.75">
      <c r="A15" s="398" t="s">
        <v>70</v>
      </c>
      <c r="B15" s="398" t="s">
        <v>11</v>
      </c>
      <c r="C15" s="410">
        <v>630000</v>
      </c>
      <c r="D15" s="410">
        <f aca="true" t="shared" si="14" ref="D15:P15">+C15*(1+C$4)</f>
        <v>735210</v>
      </c>
      <c r="E15" s="410">
        <f t="shared" si="14"/>
        <v>803069.883</v>
      </c>
      <c r="F15" s="410">
        <f t="shared" si="14"/>
        <v>873338.4977625</v>
      </c>
      <c r="G15" s="410">
        <f t="shared" si="14"/>
        <v>940148.8928413312</v>
      </c>
      <c r="H15" s="410">
        <f t="shared" si="14"/>
        <v>1005865.3004509403</v>
      </c>
      <c r="I15" s="410">
        <f t="shared" si="14"/>
        <v>1071145.9584502063</v>
      </c>
      <c r="J15" s="410">
        <f t="shared" si="14"/>
        <v>1130058.9861649675</v>
      </c>
      <c r="K15" s="410">
        <f t="shared" si="14"/>
        <v>1184866.8469939684</v>
      </c>
      <c r="L15" s="410">
        <f t="shared" si="14"/>
        <v>1237948.881739298</v>
      </c>
      <c r="M15" s="410">
        <f t="shared" si="14"/>
        <v>1308388.1731102641</v>
      </c>
      <c r="N15" s="410">
        <f t="shared" si="14"/>
        <v>1408741.5459878214</v>
      </c>
      <c r="O15" s="410">
        <f t="shared" si="14"/>
        <v>1436916.376907578</v>
      </c>
      <c r="P15" s="410">
        <f t="shared" si="14"/>
        <v>1482466.6260555482</v>
      </c>
      <c r="Q15" s="410">
        <f t="shared" si="4"/>
        <v>1537762.6312074203</v>
      </c>
      <c r="R15" s="410">
        <f t="shared" si="5"/>
        <v>1575284.0394088812</v>
      </c>
      <c r="S15" s="410">
        <f t="shared" si="6"/>
        <v>1616241.4244335121</v>
      </c>
      <c r="T15" s="410">
        <f t="shared" si="6"/>
        <v>1672809.874288685</v>
      </c>
      <c r="U15" s="410">
        <f t="shared" si="6"/>
        <v>1726339.790265923</v>
      </c>
      <c r="W15" s="409"/>
    </row>
    <row r="16" spans="1:23" s="282" customFormat="1" ht="12.75">
      <c r="A16" s="398" t="s">
        <v>71</v>
      </c>
      <c r="B16" s="398" t="s">
        <v>12</v>
      </c>
      <c r="C16" s="410">
        <v>560000</v>
      </c>
      <c r="D16" s="410">
        <f aca="true" t="shared" si="15" ref="D16:P16">+C16*(1+C$4)</f>
        <v>653520</v>
      </c>
      <c r="E16" s="410">
        <f t="shared" si="15"/>
        <v>713839.8960000001</v>
      </c>
      <c r="F16" s="410">
        <f t="shared" si="15"/>
        <v>776300.8869</v>
      </c>
      <c r="G16" s="410">
        <f t="shared" si="15"/>
        <v>835687.90474785</v>
      </c>
      <c r="H16" s="410">
        <f t="shared" si="15"/>
        <v>894102.4892897249</v>
      </c>
      <c r="I16" s="410">
        <f t="shared" si="15"/>
        <v>952129.740844628</v>
      </c>
      <c r="J16" s="410">
        <f t="shared" si="15"/>
        <v>1004496.8765910824</v>
      </c>
      <c r="K16" s="410">
        <f t="shared" si="15"/>
        <v>1053214.97510575</v>
      </c>
      <c r="L16" s="410">
        <f t="shared" si="15"/>
        <v>1100399.0059904875</v>
      </c>
      <c r="M16" s="410">
        <f t="shared" si="15"/>
        <v>1163011.7094313463</v>
      </c>
      <c r="N16" s="410">
        <f t="shared" si="15"/>
        <v>1252214.7075447305</v>
      </c>
      <c r="O16" s="410">
        <f t="shared" si="15"/>
        <v>1277259.0016956253</v>
      </c>
      <c r="P16" s="410">
        <f t="shared" si="15"/>
        <v>1317748.1120493766</v>
      </c>
      <c r="Q16" s="410">
        <f t="shared" si="4"/>
        <v>1366900.1166288184</v>
      </c>
      <c r="R16" s="410">
        <f t="shared" si="5"/>
        <v>1400252.4794745615</v>
      </c>
      <c r="S16" s="410">
        <f t="shared" si="6"/>
        <v>1436659.0439409001</v>
      </c>
      <c r="T16" s="410">
        <f t="shared" si="6"/>
        <v>1486942.1104788315</v>
      </c>
      <c r="U16" s="410">
        <f t="shared" si="6"/>
        <v>1534524.2580141542</v>
      </c>
      <c r="W16" s="409"/>
    </row>
    <row r="17" spans="1:23" s="282" customFormat="1" ht="12.75">
      <c r="A17" s="398" t="s">
        <v>72</v>
      </c>
      <c r="B17" s="398" t="s">
        <v>16</v>
      </c>
      <c r="C17" s="410">
        <v>550000</v>
      </c>
      <c r="D17" s="410">
        <f aca="true" t="shared" si="16" ref="D17:P17">+C17*(1+C$4)</f>
        <v>641850</v>
      </c>
      <c r="E17" s="410">
        <f t="shared" si="16"/>
        <v>701092.755</v>
      </c>
      <c r="F17" s="410">
        <f t="shared" si="16"/>
        <v>762438.3710624999</v>
      </c>
      <c r="G17" s="410">
        <f t="shared" si="16"/>
        <v>820764.9064487811</v>
      </c>
      <c r="H17" s="410">
        <f t="shared" si="16"/>
        <v>878136.373409551</v>
      </c>
      <c r="I17" s="410">
        <f t="shared" si="16"/>
        <v>935127.4240438308</v>
      </c>
      <c r="J17" s="410">
        <f t="shared" si="16"/>
        <v>986559.4323662415</v>
      </c>
      <c r="K17" s="410">
        <f t="shared" si="16"/>
        <v>1034407.5648360042</v>
      </c>
      <c r="L17" s="410">
        <f t="shared" si="16"/>
        <v>1080749.0237406571</v>
      </c>
      <c r="M17" s="410">
        <f t="shared" si="16"/>
        <v>1142243.6431915006</v>
      </c>
      <c r="N17" s="410">
        <f t="shared" si="16"/>
        <v>1229853.7306242886</v>
      </c>
      <c r="O17" s="410">
        <f t="shared" si="16"/>
        <v>1254450.8052367743</v>
      </c>
      <c r="P17" s="410">
        <f t="shared" si="16"/>
        <v>1294216.89576278</v>
      </c>
      <c r="Q17" s="410">
        <f t="shared" si="4"/>
        <v>1342491.1859747318</v>
      </c>
      <c r="R17" s="410">
        <f t="shared" si="5"/>
        <v>1375247.9709125152</v>
      </c>
      <c r="S17" s="410">
        <f t="shared" si="6"/>
        <v>1411004.4181562406</v>
      </c>
      <c r="T17" s="410">
        <f t="shared" si="6"/>
        <v>1460389.5727917089</v>
      </c>
      <c r="U17" s="410">
        <f t="shared" si="6"/>
        <v>1507122.0391210436</v>
      </c>
      <c r="W17" s="409"/>
    </row>
    <row r="18" spans="1:23" s="282" customFormat="1" ht="12.75">
      <c r="A18" s="398" t="s">
        <v>73</v>
      </c>
      <c r="B18" s="398" t="s">
        <v>13</v>
      </c>
      <c r="C18" s="410">
        <v>477000</v>
      </c>
      <c r="D18" s="410">
        <f aca="true" t="shared" si="17" ref="D18:P18">+C18*(1+C$4)</f>
        <v>556659</v>
      </c>
      <c r="E18" s="410">
        <f t="shared" si="17"/>
        <v>608038.6257</v>
      </c>
      <c r="F18" s="410">
        <f t="shared" si="17"/>
        <v>661242.0054487499</v>
      </c>
      <c r="G18" s="410">
        <f t="shared" si="17"/>
        <v>711827.0188655793</v>
      </c>
      <c r="H18" s="410">
        <f t="shared" si="17"/>
        <v>761583.7274842833</v>
      </c>
      <c r="I18" s="410">
        <f t="shared" si="17"/>
        <v>811010.5113980132</v>
      </c>
      <c r="J18" s="410">
        <f t="shared" si="17"/>
        <v>855616.0895249039</v>
      </c>
      <c r="K18" s="410">
        <f t="shared" si="17"/>
        <v>897113.4698668617</v>
      </c>
      <c r="L18" s="410">
        <f t="shared" si="17"/>
        <v>937304.1533168971</v>
      </c>
      <c r="M18" s="410">
        <f t="shared" si="17"/>
        <v>990636.7596406285</v>
      </c>
      <c r="N18" s="410">
        <f t="shared" si="17"/>
        <v>1066618.5991050648</v>
      </c>
      <c r="O18" s="410">
        <f t="shared" si="17"/>
        <v>1087950.971087166</v>
      </c>
      <c r="P18" s="410">
        <f t="shared" si="17"/>
        <v>1122439.0168706293</v>
      </c>
      <c r="Q18" s="410">
        <f t="shared" si="4"/>
        <v>1164305.9921999038</v>
      </c>
      <c r="R18" s="410">
        <f t="shared" si="5"/>
        <v>1192715.0584095814</v>
      </c>
      <c r="S18" s="410">
        <f t="shared" si="6"/>
        <v>1223725.6499282306</v>
      </c>
      <c r="T18" s="410">
        <f t="shared" si="6"/>
        <v>1266556.0476757186</v>
      </c>
      <c r="U18" s="410">
        <f t="shared" si="6"/>
        <v>1307085.8412013415</v>
      </c>
      <c r="W18" s="409"/>
    </row>
    <row r="19" spans="1:23" s="282" customFormat="1" ht="12.75">
      <c r="A19" s="398" t="s">
        <v>74</v>
      </c>
      <c r="B19" s="398" t="s">
        <v>14</v>
      </c>
      <c r="C19" s="410">
        <v>415000</v>
      </c>
      <c r="D19" s="410">
        <f aca="true" t="shared" si="18" ref="D19:P19">+C19*(1+C$4)</f>
        <v>484305</v>
      </c>
      <c r="E19" s="410">
        <f t="shared" si="18"/>
        <v>529006.3515</v>
      </c>
      <c r="F19" s="410">
        <f t="shared" si="18"/>
        <v>575294.4072562499</v>
      </c>
      <c r="G19" s="410">
        <f t="shared" si="18"/>
        <v>619304.4294113531</v>
      </c>
      <c r="H19" s="410">
        <f t="shared" si="18"/>
        <v>662593.8090272067</v>
      </c>
      <c r="I19" s="410">
        <f t="shared" si="18"/>
        <v>705596.1472330724</v>
      </c>
      <c r="J19" s="410">
        <f t="shared" si="18"/>
        <v>744403.9353308914</v>
      </c>
      <c r="K19" s="410">
        <f t="shared" si="18"/>
        <v>780507.5261944396</v>
      </c>
      <c r="L19" s="410">
        <f t="shared" si="18"/>
        <v>815474.2633679505</v>
      </c>
      <c r="M19" s="410">
        <f t="shared" si="18"/>
        <v>861874.7489535868</v>
      </c>
      <c r="N19" s="410">
        <f t="shared" si="18"/>
        <v>927980.5421983269</v>
      </c>
      <c r="O19" s="410">
        <f t="shared" si="18"/>
        <v>946540.1530422935</v>
      </c>
      <c r="P19" s="410">
        <f t="shared" si="18"/>
        <v>976545.4758937343</v>
      </c>
      <c r="Q19" s="410">
        <f t="shared" si="4"/>
        <v>1012970.6221445707</v>
      </c>
      <c r="R19" s="410">
        <f t="shared" si="5"/>
        <v>1037687.1053248981</v>
      </c>
      <c r="S19" s="410">
        <f t="shared" si="6"/>
        <v>1064666.9700633455</v>
      </c>
      <c r="T19" s="410">
        <f t="shared" si="6"/>
        <v>1101930.3140155624</v>
      </c>
      <c r="U19" s="410">
        <f t="shared" si="6"/>
        <v>1137192.0840640604</v>
      </c>
      <c r="W19" s="409"/>
    </row>
    <row r="20" spans="1:23" s="282" customFormat="1" ht="12.75">
      <c r="A20" s="398" t="s">
        <v>75</v>
      </c>
      <c r="B20" s="398" t="s">
        <v>17</v>
      </c>
      <c r="C20" s="410">
        <v>345000</v>
      </c>
      <c r="D20" s="410">
        <f aca="true" t="shared" si="19" ref="D20:P20">+C20*(1+C$4)</f>
        <v>402615</v>
      </c>
      <c r="E20" s="410">
        <f t="shared" si="19"/>
        <v>439776.3645</v>
      </c>
      <c r="F20" s="410">
        <f t="shared" si="19"/>
        <v>478256.79639375</v>
      </c>
      <c r="G20" s="410">
        <f t="shared" si="19"/>
        <v>514843.4413178719</v>
      </c>
      <c r="H20" s="410">
        <f t="shared" si="19"/>
        <v>550830.9978659912</v>
      </c>
      <c r="I20" s="410">
        <f t="shared" si="19"/>
        <v>586579.929627494</v>
      </c>
      <c r="J20" s="410">
        <f t="shared" si="19"/>
        <v>618841.8257570061</v>
      </c>
      <c r="K20" s="410">
        <f t="shared" si="19"/>
        <v>648855.6543062208</v>
      </c>
      <c r="L20" s="410">
        <f t="shared" si="19"/>
        <v>677924.3876191395</v>
      </c>
      <c r="M20" s="410">
        <f t="shared" si="19"/>
        <v>716498.2852746685</v>
      </c>
      <c r="N20" s="410">
        <f t="shared" si="19"/>
        <v>771453.7037552355</v>
      </c>
      <c r="O20" s="410">
        <f t="shared" si="19"/>
        <v>786882.7778303402</v>
      </c>
      <c r="P20" s="410">
        <f t="shared" si="19"/>
        <v>811826.9618875621</v>
      </c>
      <c r="Q20" s="410">
        <f t="shared" si="4"/>
        <v>842108.1075659682</v>
      </c>
      <c r="R20" s="410">
        <f t="shared" si="5"/>
        <v>862655.5453905778</v>
      </c>
      <c r="S20" s="410">
        <f t="shared" si="6"/>
        <v>885084.5895707328</v>
      </c>
      <c r="T20" s="410">
        <f t="shared" si="6"/>
        <v>916062.5502057084</v>
      </c>
      <c r="U20" s="410">
        <f t="shared" si="6"/>
        <v>945376.551812291</v>
      </c>
      <c r="W20" s="409"/>
    </row>
    <row r="21" spans="1:23" s="282" customFormat="1" ht="12.75">
      <c r="A21" s="398" t="s">
        <v>76</v>
      </c>
      <c r="B21" s="398" t="s">
        <v>18</v>
      </c>
      <c r="C21" s="410">
        <v>345000</v>
      </c>
      <c r="D21" s="410">
        <f aca="true" t="shared" si="20" ref="D21:P21">+C21*(1+C$4)</f>
        <v>402615</v>
      </c>
      <c r="E21" s="410">
        <f t="shared" si="20"/>
        <v>439776.3645</v>
      </c>
      <c r="F21" s="410">
        <f t="shared" si="20"/>
        <v>478256.79639375</v>
      </c>
      <c r="G21" s="410">
        <f t="shared" si="20"/>
        <v>514843.4413178719</v>
      </c>
      <c r="H21" s="410">
        <f t="shared" si="20"/>
        <v>550830.9978659912</v>
      </c>
      <c r="I21" s="410">
        <f t="shared" si="20"/>
        <v>586579.929627494</v>
      </c>
      <c r="J21" s="410">
        <f t="shared" si="20"/>
        <v>618841.8257570061</v>
      </c>
      <c r="K21" s="410">
        <f t="shared" si="20"/>
        <v>648855.6543062208</v>
      </c>
      <c r="L21" s="410">
        <f t="shared" si="20"/>
        <v>677924.3876191395</v>
      </c>
      <c r="M21" s="410">
        <f t="shared" si="20"/>
        <v>716498.2852746685</v>
      </c>
      <c r="N21" s="410">
        <f t="shared" si="20"/>
        <v>771453.7037552355</v>
      </c>
      <c r="O21" s="410">
        <f t="shared" si="20"/>
        <v>786882.7778303402</v>
      </c>
      <c r="P21" s="410">
        <f t="shared" si="20"/>
        <v>811826.9618875621</v>
      </c>
      <c r="Q21" s="410">
        <f t="shared" si="4"/>
        <v>842108.1075659682</v>
      </c>
      <c r="R21" s="410">
        <f t="shared" si="5"/>
        <v>862655.5453905778</v>
      </c>
      <c r="S21" s="410">
        <f t="shared" si="6"/>
        <v>885084.5895707328</v>
      </c>
      <c r="T21" s="410">
        <f t="shared" si="6"/>
        <v>916062.5502057084</v>
      </c>
      <c r="U21" s="410">
        <f t="shared" si="6"/>
        <v>945376.551812291</v>
      </c>
      <c r="W21" s="409"/>
    </row>
    <row r="22" spans="1:23" s="282" customFormat="1" ht="12.75">
      <c r="A22" s="398" t="s">
        <v>77</v>
      </c>
      <c r="B22" s="398" t="s">
        <v>19</v>
      </c>
      <c r="C22" s="410">
        <v>345000</v>
      </c>
      <c r="D22" s="410">
        <f aca="true" t="shared" si="21" ref="D22:P22">+C22*(1+C$4)</f>
        <v>402615</v>
      </c>
      <c r="E22" s="410">
        <f t="shared" si="21"/>
        <v>439776.3645</v>
      </c>
      <c r="F22" s="410">
        <f t="shared" si="21"/>
        <v>478256.79639375</v>
      </c>
      <c r="G22" s="410">
        <f t="shared" si="21"/>
        <v>514843.4413178719</v>
      </c>
      <c r="H22" s="410">
        <f t="shared" si="21"/>
        <v>550830.9978659912</v>
      </c>
      <c r="I22" s="410">
        <f t="shared" si="21"/>
        <v>586579.929627494</v>
      </c>
      <c r="J22" s="410">
        <f t="shared" si="21"/>
        <v>618841.8257570061</v>
      </c>
      <c r="K22" s="410">
        <f t="shared" si="21"/>
        <v>648855.6543062208</v>
      </c>
      <c r="L22" s="410">
        <f t="shared" si="21"/>
        <v>677924.3876191395</v>
      </c>
      <c r="M22" s="410">
        <f t="shared" si="21"/>
        <v>716498.2852746685</v>
      </c>
      <c r="N22" s="410">
        <f t="shared" si="21"/>
        <v>771453.7037552355</v>
      </c>
      <c r="O22" s="410">
        <f t="shared" si="21"/>
        <v>786882.7778303402</v>
      </c>
      <c r="P22" s="410">
        <f t="shared" si="21"/>
        <v>811826.9618875621</v>
      </c>
      <c r="Q22" s="410">
        <f t="shared" si="4"/>
        <v>842108.1075659682</v>
      </c>
      <c r="R22" s="410">
        <f t="shared" si="5"/>
        <v>862655.5453905778</v>
      </c>
      <c r="S22" s="410">
        <f t="shared" si="6"/>
        <v>885084.5895707328</v>
      </c>
      <c r="T22" s="410">
        <f t="shared" si="6"/>
        <v>916062.5502057084</v>
      </c>
      <c r="U22" s="410">
        <f t="shared" si="6"/>
        <v>945376.551812291</v>
      </c>
      <c r="W22" s="409"/>
    </row>
    <row r="23" spans="1:23" s="282" customFormat="1" ht="12.75">
      <c r="A23" s="398" t="s">
        <v>78</v>
      </c>
      <c r="B23" s="398" t="s">
        <v>15</v>
      </c>
      <c r="C23" s="410">
        <v>167708</v>
      </c>
      <c r="D23" s="410">
        <f aca="true" t="shared" si="22" ref="D23:P23">+C23*(1+C$4)</f>
        <v>195715.236</v>
      </c>
      <c r="E23" s="410">
        <f t="shared" si="22"/>
        <v>213779.7522828</v>
      </c>
      <c r="F23" s="410">
        <f t="shared" si="22"/>
        <v>232485.480607545</v>
      </c>
      <c r="G23" s="410">
        <f t="shared" si="22"/>
        <v>250270.6198740222</v>
      </c>
      <c r="H23" s="410">
        <f t="shared" si="22"/>
        <v>267764.53620321635</v>
      </c>
      <c r="I23" s="410">
        <f t="shared" si="22"/>
        <v>285142.4546028051</v>
      </c>
      <c r="J23" s="410">
        <f t="shared" si="22"/>
        <v>300825.2896059593</v>
      </c>
      <c r="K23" s="410">
        <f t="shared" si="22"/>
        <v>315415.31615184835</v>
      </c>
      <c r="L23" s="410">
        <f t="shared" si="22"/>
        <v>329545.92231545114</v>
      </c>
      <c r="M23" s="410">
        <f t="shared" si="22"/>
        <v>348297.0852952003</v>
      </c>
      <c r="N23" s="410">
        <f t="shared" si="22"/>
        <v>375011.47173734213</v>
      </c>
      <c r="O23" s="410">
        <f t="shared" si="22"/>
        <v>382511.701172089</v>
      </c>
      <c r="P23" s="410">
        <f t="shared" si="22"/>
        <v>394637.3220992442</v>
      </c>
      <c r="Q23" s="410">
        <f t="shared" si="4"/>
        <v>409357.2942135461</v>
      </c>
      <c r="R23" s="410">
        <f t="shared" si="5"/>
        <v>419345.6121923566</v>
      </c>
      <c r="S23" s="410">
        <f t="shared" si="6"/>
        <v>430248.5981093579</v>
      </c>
      <c r="T23" s="410">
        <f t="shared" si="6"/>
        <v>445307.29904318537</v>
      </c>
      <c r="U23" s="410">
        <f t="shared" si="6"/>
        <v>459557.13261256734</v>
      </c>
      <c r="W23" s="409"/>
    </row>
    <row r="24" spans="1:23" s="282" customFormat="1" ht="12.75">
      <c r="A24" s="398"/>
      <c r="B24" s="398"/>
      <c r="C24" s="399"/>
      <c r="D24" s="412"/>
      <c r="E24" s="412"/>
      <c r="F24" s="412"/>
      <c r="G24" s="412"/>
      <c r="H24" s="412"/>
      <c r="I24" s="412"/>
      <c r="J24" s="412"/>
      <c r="K24" s="412"/>
      <c r="L24" s="412" t="s">
        <v>640</v>
      </c>
      <c r="M24" s="412"/>
      <c r="N24" s="412"/>
      <c r="O24" s="412"/>
      <c r="P24" s="412"/>
      <c r="Q24" s="410">
        <f t="shared" si="4"/>
        <v>0</v>
      </c>
      <c r="R24" s="410">
        <f t="shared" si="5"/>
        <v>0</v>
      </c>
      <c r="S24" s="410">
        <f t="shared" si="6"/>
        <v>0</v>
      </c>
      <c r="T24" s="410">
        <f t="shared" si="6"/>
        <v>0</v>
      </c>
      <c r="U24" s="410">
        <f t="shared" si="6"/>
        <v>0</v>
      </c>
      <c r="W24" s="409"/>
    </row>
    <row r="25" spans="1:23" s="282" customFormat="1" ht="12.75">
      <c r="A25" s="398" t="s">
        <v>31</v>
      </c>
      <c r="B25" s="398"/>
      <c r="C25" s="410">
        <v>40000000</v>
      </c>
      <c r="D25" s="410">
        <f aca="true" t="shared" si="23" ref="D25:P25">+C25*(1+C$4)</f>
        <v>46680000</v>
      </c>
      <c r="E25" s="410">
        <f t="shared" si="23"/>
        <v>50988564</v>
      </c>
      <c r="F25" s="410">
        <f t="shared" si="23"/>
        <v>55450063.349999994</v>
      </c>
      <c r="G25" s="410">
        <f t="shared" si="23"/>
        <v>59691993.196274996</v>
      </c>
      <c r="H25" s="410">
        <f t="shared" si="23"/>
        <v>63864463.52069462</v>
      </c>
      <c r="I25" s="410">
        <f t="shared" si="23"/>
        <v>68009267.2031877</v>
      </c>
      <c r="J25" s="410">
        <f t="shared" si="23"/>
        <v>71749776.89936303</v>
      </c>
      <c r="K25" s="410">
        <f t="shared" si="23"/>
        <v>75229641.07898213</v>
      </c>
      <c r="L25" s="410">
        <f t="shared" si="23"/>
        <v>78599928.99932052</v>
      </c>
      <c r="M25" s="410">
        <f t="shared" si="23"/>
        <v>83072264.95938185</v>
      </c>
      <c r="N25" s="410">
        <f t="shared" si="23"/>
        <v>89443907.68176644</v>
      </c>
      <c r="O25" s="410">
        <f t="shared" si="23"/>
        <v>91232785.83540176</v>
      </c>
      <c r="P25" s="410">
        <f t="shared" si="23"/>
        <v>94124865.146384</v>
      </c>
      <c r="Q25" s="410">
        <f t="shared" si="4"/>
        <v>97635722.61634414</v>
      </c>
      <c r="R25" s="410">
        <f t="shared" si="5"/>
        <v>100018034.24818294</v>
      </c>
      <c r="S25" s="410">
        <f t="shared" si="6"/>
        <v>102618503.1386357</v>
      </c>
      <c r="T25" s="410">
        <f t="shared" si="6"/>
        <v>106210150.74848793</v>
      </c>
      <c r="U25" s="410">
        <f t="shared" si="6"/>
        <v>109608875.57243955</v>
      </c>
      <c r="W25" s="409"/>
    </row>
    <row r="26" spans="1:23" s="282" customFormat="1" ht="12.75">
      <c r="A26" s="398" t="s">
        <v>20</v>
      </c>
      <c r="B26" s="398"/>
      <c r="C26" s="410">
        <v>1800000</v>
      </c>
      <c r="D26" s="410">
        <f aca="true" t="shared" si="24" ref="D26:P26">+C26*(1+C$4)</f>
        <v>2100600</v>
      </c>
      <c r="E26" s="410">
        <f t="shared" si="24"/>
        <v>2294485.38</v>
      </c>
      <c r="F26" s="410">
        <f t="shared" si="24"/>
        <v>2495252.8507499998</v>
      </c>
      <c r="G26" s="410">
        <f t="shared" si="24"/>
        <v>2686139.6938323746</v>
      </c>
      <c r="H26" s="410">
        <f t="shared" si="24"/>
        <v>2873900.858431258</v>
      </c>
      <c r="I26" s="410">
        <f t="shared" si="24"/>
        <v>3060417.0241434462</v>
      </c>
      <c r="J26" s="410">
        <f t="shared" si="24"/>
        <v>3228739.960471336</v>
      </c>
      <c r="K26" s="410">
        <f t="shared" si="24"/>
        <v>3385333.8485541954</v>
      </c>
      <c r="L26" s="410">
        <f t="shared" si="24"/>
        <v>3536996.804969423</v>
      </c>
      <c r="M26" s="410">
        <f t="shared" si="24"/>
        <v>3738251.923172183</v>
      </c>
      <c r="N26" s="410">
        <f t="shared" si="24"/>
        <v>4024975.8456794894</v>
      </c>
      <c r="O26" s="410">
        <f t="shared" si="24"/>
        <v>4105475.3625930795</v>
      </c>
      <c r="P26" s="410">
        <f t="shared" si="24"/>
        <v>4235618.931587281</v>
      </c>
      <c r="Q26" s="410">
        <f t="shared" si="4"/>
        <v>4393607.517735487</v>
      </c>
      <c r="R26" s="410">
        <f t="shared" si="5"/>
        <v>4500811.541168232</v>
      </c>
      <c r="S26" s="410">
        <f t="shared" si="6"/>
        <v>4617832.641238607</v>
      </c>
      <c r="T26" s="410">
        <f t="shared" si="6"/>
        <v>4779456.783681957</v>
      </c>
      <c r="U26" s="410">
        <f t="shared" si="6"/>
        <v>4932399.40075978</v>
      </c>
      <c r="V26" s="357" t="s">
        <v>756</v>
      </c>
      <c r="W26" s="409"/>
    </row>
    <row r="27" spans="1:23" s="282" customFormat="1" ht="12.75">
      <c r="A27" s="398" t="s">
        <v>22</v>
      </c>
      <c r="B27" s="398"/>
      <c r="C27" s="410">
        <v>1800000</v>
      </c>
      <c r="D27" s="410">
        <f aca="true" t="shared" si="25" ref="D27:P27">+C27*(1+C$4)</f>
        <v>2100600</v>
      </c>
      <c r="E27" s="410">
        <f t="shared" si="25"/>
        <v>2294485.38</v>
      </c>
      <c r="F27" s="410">
        <f t="shared" si="25"/>
        <v>2495252.8507499998</v>
      </c>
      <c r="G27" s="410">
        <f t="shared" si="25"/>
        <v>2686139.6938323746</v>
      </c>
      <c r="H27" s="410">
        <f t="shared" si="25"/>
        <v>2873900.858431258</v>
      </c>
      <c r="I27" s="410">
        <f t="shared" si="25"/>
        <v>3060417.0241434462</v>
      </c>
      <c r="J27" s="410">
        <f t="shared" si="25"/>
        <v>3228739.960471336</v>
      </c>
      <c r="K27" s="410">
        <f t="shared" si="25"/>
        <v>3385333.8485541954</v>
      </c>
      <c r="L27" s="410">
        <f t="shared" si="25"/>
        <v>3536996.804969423</v>
      </c>
      <c r="M27" s="410">
        <f t="shared" si="25"/>
        <v>3738251.923172183</v>
      </c>
      <c r="N27" s="410">
        <f t="shared" si="25"/>
        <v>4024975.8456794894</v>
      </c>
      <c r="O27" s="410">
        <f t="shared" si="25"/>
        <v>4105475.3625930795</v>
      </c>
      <c r="P27" s="410">
        <f t="shared" si="25"/>
        <v>4235618.931587281</v>
      </c>
      <c r="Q27" s="410">
        <f t="shared" si="4"/>
        <v>4393607.517735487</v>
      </c>
      <c r="R27" s="410">
        <f t="shared" si="5"/>
        <v>4500811.541168232</v>
      </c>
      <c r="S27" s="410">
        <f t="shared" si="6"/>
        <v>4617832.641238607</v>
      </c>
      <c r="T27" s="410">
        <f t="shared" si="6"/>
        <v>4779456.783681957</v>
      </c>
      <c r="U27" s="410">
        <f t="shared" si="6"/>
        <v>4932399.40075978</v>
      </c>
      <c r="V27" s="282" t="s">
        <v>682</v>
      </c>
      <c r="W27" s="413" t="str">
        <f aca="true" t="shared" si="26" ref="W27:W34">+CONCATENATE(W26," / ",V27)</f>
        <v> / Aux. Ing. (Rango Cat .T1-T3)</v>
      </c>
    </row>
    <row r="28" spans="1:23" s="282" customFormat="1" ht="12.75">
      <c r="A28" s="398" t="s">
        <v>28</v>
      </c>
      <c r="B28" s="398"/>
      <c r="C28" s="410">
        <v>1200000</v>
      </c>
      <c r="D28" s="410">
        <f aca="true" t="shared" si="27" ref="D28:P28">+C28*(1+C$4)</f>
        <v>1400400</v>
      </c>
      <c r="E28" s="410">
        <f t="shared" si="27"/>
        <v>1529656.9200000002</v>
      </c>
      <c r="F28" s="410">
        <f t="shared" si="27"/>
        <v>1663501.9005</v>
      </c>
      <c r="G28" s="410">
        <f t="shared" si="27"/>
        <v>1790759.79588825</v>
      </c>
      <c r="H28" s="410">
        <f t="shared" si="27"/>
        <v>1915933.9056208387</v>
      </c>
      <c r="I28" s="410">
        <f t="shared" si="27"/>
        <v>2040278.016095631</v>
      </c>
      <c r="J28" s="410">
        <f t="shared" si="27"/>
        <v>2152493.3069808907</v>
      </c>
      <c r="K28" s="410">
        <f t="shared" si="27"/>
        <v>2256889.232369464</v>
      </c>
      <c r="L28" s="410">
        <f t="shared" si="27"/>
        <v>2357997.869979616</v>
      </c>
      <c r="M28" s="410">
        <f t="shared" si="27"/>
        <v>2492167.948781456</v>
      </c>
      <c r="N28" s="410">
        <f t="shared" si="27"/>
        <v>2683317.2304529934</v>
      </c>
      <c r="O28" s="410">
        <f t="shared" si="27"/>
        <v>2736983.5750620533</v>
      </c>
      <c r="P28" s="410">
        <f t="shared" si="27"/>
        <v>2823745.9543915205</v>
      </c>
      <c r="Q28" s="410">
        <f t="shared" si="4"/>
        <v>2929071.6784903244</v>
      </c>
      <c r="R28" s="410">
        <f t="shared" si="5"/>
        <v>3000541.027445488</v>
      </c>
      <c r="S28" s="410">
        <f t="shared" si="6"/>
        <v>3078555.094159071</v>
      </c>
      <c r="T28" s="410">
        <f t="shared" si="6"/>
        <v>3186304.522454638</v>
      </c>
      <c r="U28" s="410">
        <f t="shared" si="6"/>
        <v>3288266.2671731864</v>
      </c>
      <c r="V28" s="282" t="s">
        <v>683</v>
      </c>
      <c r="W28" s="413" t="str">
        <f t="shared" si="26"/>
        <v> / Aux. Ing. (Rango Cat .T1-T3) / Topógrafo (Rango Cat .T2-T4)</v>
      </c>
    </row>
    <row r="29" spans="1:23" s="282" customFormat="1" ht="12.75">
      <c r="A29" s="398" t="s">
        <v>21</v>
      </c>
      <c r="B29" s="398"/>
      <c r="C29" s="410">
        <v>1020000</v>
      </c>
      <c r="D29" s="410">
        <f aca="true" t="shared" si="28" ref="D29:P29">+C29*(1+C$4)</f>
        <v>1190340</v>
      </c>
      <c r="E29" s="410">
        <f t="shared" si="28"/>
        <v>1300208.382</v>
      </c>
      <c r="F29" s="410">
        <f t="shared" si="28"/>
        <v>1413976.615425</v>
      </c>
      <c r="G29" s="410">
        <f t="shared" si="28"/>
        <v>1522145.8265050126</v>
      </c>
      <c r="H29" s="410">
        <f t="shared" si="28"/>
        <v>1628543.8197777132</v>
      </c>
      <c r="I29" s="410">
        <f t="shared" si="28"/>
        <v>1734236.3136812868</v>
      </c>
      <c r="J29" s="410">
        <f t="shared" si="28"/>
        <v>1829619.3109337573</v>
      </c>
      <c r="K29" s="410">
        <f t="shared" si="28"/>
        <v>1918355.8475140445</v>
      </c>
      <c r="L29" s="410">
        <f t="shared" si="28"/>
        <v>2004298.1894826735</v>
      </c>
      <c r="M29" s="410">
        <f t="shared" si="28"/>
        <v>2118342.7564642373</v>
      </c>
      <c r="N29" s="410">
        <f t="shared" si="28"/>
        <v>2280819.6458850442</v>
      </c>
      <c r="O29" s="410">
        <f t="shared" si="28"/>
        <v>2326436.0388027453</v>
      </c>
      <c r="P29" s="410">
        <f t="shared" si="28"/>
        <v>2400184.0612327927</v>
      </c>
      <c r="Q29" s="410">
        <f t="shared" si="4"/>
        <v>2489710.926716776</v>
      </c>
      <c r="R29" s="410">
        <f t="shared" si="5"/>
        <v>2550459.8733286653</v>
      </c>
      <c r="S29" s="410">
        <f t="shared" si="6"/>
        <v>2616771.8300352106</v>
      </c>
      <c r="T29" s="410">
        <f t="shared" si="6"/>
        <v>2708358.8440864426</v>
      </c>
      <c r="U29" s="410">
        <f t="shared" si="6"/>
        <v>2795026.3270972087</v>
      </c>
      <c r="V29" s="282" t="s">
        <v>684</v>
      </c>
      <c r="W29" s="413" t="str">
        <f t="shared" si="26"/>
        <v> / Aux. Ing. (Rango Cat .T1-T3) / Topógrafo (Rango Cat .T2-T4) / Maestro (Rango Cat .T3-T5)</v>
      </c>
    </row>
    <row r="30" spans="1:23" s="282" customFormat="1" ht="12.75">
      <c r="A30" s="398" t="s">
        <v>24</v>
      </c>
      <c r="B30" s="398"/>
      <c r="C30" s="410">
        <v>600000</v>
      </c>
      <c r="D30" s="410">
        <f aca="true" t="shared" si="29" ref="D30:P30">+C30*(1+C$4)</f>
        <v>700200</v>
      </c>
      <c r="E30" s="410">
        <f t="shared" si="29"/>
        <v>764828.4600000001</v>
      </c>
      <c r="F30" s="410">
        <f t="shared" si="29"/>
        <v>831750.95025</v>
      </c>
      <c r="G30" s="410">
        <f t="shared" si="29"/>
        <v>895379.897944125</v>
      </c>
      <c r="H30" s="410">
        <f t="shared" si="29"/>
        <v>957966.9528104194</v>
      </c>
      <c r="I30" s="410">
        <f t="shared" si="29"/>
        <v>1020139.0080478155</v>
      </c>
      <c r="J30" s="410">
        <f t="shared" si="29"/>
        <v>1076246.6534904453</v>
      </c>
      <c r="K30" s="410">
        <f t="shared" si="29"/>
        <v>1128444.616184732</v>
      </c>
      <c r="L30" s="410">
        <f t="shared" si="29"/>
        <v>1178998.934989808</v>
      </c>
      <c r="M30" s="410">
        <f t="shared" si="29"/>
        <v>1246083.974390728</v>
      </c>
      <c r="N30" s="410">
        <f t="shared" si="29"/>
        <v>1341658.6152264967</v>
      </c>
      <c r="O30" s="410">
        <f t="shared" si="29"/>
        <v>1368491.7875310266</v>
      </c>
      <c r="P30" s="410">
        <f t="shared" si="29"/>
        <v>1411872.9771957602</v>
      </c>
      <c r="Q30" s="410">
        <f t="shared" si="4"/>
        <v>1464535.8392451622</v>
      </c>
      <c r="R30" s="410">
        <f t="shared" si="5"/>
        <v>1500270.513722744</v>
      </c>
      <c r="S30" s="410">
        <f t="shared" si="6"/>
        <v>1539277.5470795354</v>
      </c>
      <c r="T30" s="410">
        <f t="shared" si="6"/>
        <v>1593152.261227319</v>
      </c>
      <c r="U30" s="410">
        <f t="shared" si="6"/>
        <v>1644133.1335865932</v>
      </c>
      <c r="V30" s="282" t="s">
        <v>685</v>
      </c>
      <c r="W30" s="413" t="str">
        <f t="shared" si="26"/>
        <v> / Aux. Ing. (Rango Cat .T1-T3) / Topógrafo (Rango Cat .T2-T4) / Maestro (Rango Cat .T3-T5) / Dibujante (Rango Cat .T4-T6)</v>
      </c>
    </row>
    <row r="31" spans="1:23" s="282" customFormat="1" ht="12.75">
      <c r="A31" s="398" t="s">
        <v>23</v>
      </c>
      <c r="B31" s="398"/>
      <c r="C31" s="410">
        <v>482250</v>
      </c>
      <c r="D31" s="410">
        <f aca="true" t="shared" si="30" ref="D31:P31">+C31*(1+C$4)</f>
        <v>562785.75</v>
      </c>
      <c r="E31" s="410">
        <f t="shared" si="30"/>
        <v>614730.874725</v>
      </c>
      <c r="F31" s="410">
        <f t="shared" si="30"/>
        <v>668519.8262634374</v>
      </c>
      <c r="G31" s="410">
        <f t="shared" si="30"/>
        <v>719661.5929725904</v>
      </c>
      <c r="H31" s="410">
        <f t="shared" si="30"/>
        <v>769965.9383213745</v>
      </c>
      <c r="I31" s="410">
        <f t="shared" si="30"/>
        <v>819936.7277184316</v>
      </c>
      <c r="J31" s="410">
        <f t="shared" si="30"/>
        <v>865033.2477429453</v>
      </c>
      <c r="K31" s="410">
        <f t="shared" si="30"/>
        <v>906987.3602584782</v>
      </c>
      <c r="L31" s="410">
        <f t="shared" si="30"/>
        <v>947620.3939980579</v>
      </c>
      <c r="M31" s="410">
        <f t="shared" si="30"/>
        <v>1001539.9944165474</v>
      </c>
      <c r="N31" s="410">
        <f t="shared" si="30"/>
        <v>1078358.1119882965</v>
      </c>
      <c r="O31" s="410">
        <f t="shared" si="30"/>
        <v>1099925.2742280625</v>
      </c>
      <c r="P31" s="410">
        <f t="shared" si="30"/>
        <v>1134792.9054210922</v>
      </c>
      <c r="Q31" s="410">
        <f t="shared" si="4"/>
        <v>1177120.680793299</v>
      </c>
      <c r="R31" s="410">
        <f t="shared" si="5"/>
        <v>1205842.4254046555</v>
      </c>
      <c r="S31" s="410">
        <f t="shared" si="6"/>
        <v>1237194.3284651765</v>
      </c>
      <c r="T31" s="410">
        <f t="shared" si="6"/>
        <v>1280496.1299614576</v>
      </c>
      <c r="U31" s="410">
        <f t="shared" si="6"/>
        <v>1321472.0061202243</v>
      </c>
      <c r="V31" s="282" t="s">
        <v>686</v>
      </c>
      <c r="W31" s="413" t="str">
        <f t="shared" si="26"/>
        <v> / Aux. Ing. (Rango Cat .T1-T3) / Topógrafo (Rango Cat .T2-T4) / Maestro (Rango Cat .T3-T5) / Dibujante (Rango Cat .T4-T6) / Cadenero 1 (Rango Cat .T5-T7)</v>
      </c>
    </row>
    <row r="32" spans="1:23" s="282" customFormat="1" ht="12.75">
      <c r="A32" s="398" t="s">
        <v>27</v>
      </c>
      <c r="B32" s="398"/>
      <c r="C32" s="410">
        <v>250000</v>
      </c>
      <c r="D32" s="410">
        <f aca="true" t="shared" si="31" ref="D32:P32">+C32*(1+C$4)</f>
        <v>291750</v>
      </c>
      <c r="E32" s="410">
        <f t="shared" si="31"/>
        <v>318678.525</v>
      </c>
      <c r="F32" s="410">
        <f t="shared" si="31"/>
        <v>346562.8959375</v>
      </c>
      <c r="G32" s="410">
        <f t="shared" si="31"/>
        <v>373074.95747671876</v>
      </c>
      <c r="H32" s="410">
        <f t="shared" si="31"/>
        <v>399152.8970043414</v>
      </c>
      <c r="I32" s="410">
        <f t="shared" si="31"/>
        <v>425057.9200199232</v>
      </c>
      <c r="J32" s="410">
        <f t="shared" si="31"/>
        <v>448436.1056210189</v>
      </c>
      <c r="K32" s="410">
        <f t="shared" si="31"/>
        <v>470185.2567436383</v>
      </c>
      <c r="L32" s="410">
        <f t="shared" si="31"/>
        <v>491249.5562457533</v>
      </c>
      <c r="M32" s="410">
        <f t="shared" si="31"/>
        <v>519201.65599613666</v>
      </c>
      <c r="N32" s="410">
        <f t="shared" si="31"/>
        <v>559024.4230110403</v>
      </c>
      <c r="O32" s="410">
        <f t="shared" si="31"/>
        <v>570204.9114712612</v>
      </c>
      <c r="P32" s="410">
        <f t="shared" si="31"/>
        <v>588280.4071649002</v>
      </c>
      <c r="Q32" s="410">
        <f t="shared" si="4"/>
        <v>610223.266352151</v>
      </c>
      <c r="R32" s="410">
        <f t="shared" si="5"/>
        <v>625112.7140511435</v>
      </c>
      <c r="S32" s="410">
        <f t="shared" si="6"/>
        <v>641365.6446164732</v>
      </c>
      <c r="T32" s="410">
        <f t="shared" si="6"/>
        <v>663813.4421780497</v>
      </c>
      <c r="U32" s="410">
        <f t="shared" si="6"/>
        <v>685055.4723277473</v>
      </c>
      <c r="V32" s="282" t="s">
        <v>687</v>
      </c>
      <c r="W32" s="413" t="str">
        <f t="shared" si="26"/>
        <v> / Aux. Ing. (Rango Cat .T1-T3) / Topógrafo (Rango Cat .T2-T4) / Maestro (Rango Cat .T3-T5) / Dibujante (Rango Cat .T4-T6) / Cadenero 1 (Rango Cat .T5-T7) / Cadenero 2 (Rango Cat .T6-T8)</v>
      </c>
    </row>
    <row r="33" spans="1:23" s="282" customFormat="1" ht="12.75">
      <c r="A33" s="398" t="s">
        <v>25</v>
      </c>
      <c r="B33" s="398"/>
      <c r="C33" s="410">
        <v>200000</v>
      </c>
      <c r="D33" s="410">
        <f aca="true" t="shared" si="32" ref="D33:P33">+C33*(1+C$4)</f>
        <v>233400</v>
      </c>
      <c r="E33" s="410">
        <f t="shared" si="32"/>
        <v>254942.82</v>
      </c>
      <c r="F33" s="410">
        <f t="shared" si="32"/>
        <v>277250.31675</v>
      </c>
      <c r="G33" s="410">
        <f t="shared" si="32"/>
        <v>298459.965981375</v>
      </c>
      <c r="H33" s="410">
        <f t="shared" si="32"/>
        <v>319322.31760347314</v>
      </c>
      <c r="I33" s="410">
        <f t="shared" si="32"/>
        <v>340046.33601593855</v>
      </c>
      <c r="J33" s="410">
        <f t="shared" si="32"/>
        <v>358748.88449681515</v>
      </c>
      <c r="K33" s="410">
        <f t="shared" si="32"/>
        <v>376148.2053949107</v>
      </c>
      <c r="L33" s="410">
        <f t="shared" si="32"/>
        <v>392999.64499660267</v>
      </c>
      <c r="M33" s="410">
        <f t="shared" si="32"/>
        <v>415361.32479690935</v>
      </c>
      <c r="N33" s="410">
        <f t="shared" si="32"/>
        <v>447219.5384088323</v>
      </c>
      <c r="O33" s="410">
        <f t="shared" si="32"/>
        <v>456163.9291770089</v>
      </c>
      <c r="P33" s="410">
        <f t="shared" si="32"/>
        <v>470624.32573192014</v>
      </c>
      <c r="Q33" s="410">
        <f t="shared" si="4"/>
        <v>488178.61308172083</v>
      </c>
      <c r="R33" s="410">
        <f t="shared" si="5"/>
        <v>500090.1712409148</v>
      </c>
      <c r="S33" s="410">
        <f t="shared" si="6"/>
        <v>513092.5156931786</v>
      </c>
      <c r="T33" s="410">
        <f t="shared" si="6"/>
        <v>531050.7537424398</v>
      </c>
      <c r="U33" s="410">
        <f t="shared" si="6"/>
        <v>548044.3778621979</v>
      </c>
      <c r="V33" s="282" t="s">
        <v>688</v>
      </c>
      <c r="W33" s="413" t="str">
        <f t="shared" si="26"/>
        <v> / Aux. Ing. (Rango Cat .T1-T3) / Topógrafo (Rango Cat .T2-T4) / Maestro (Rango Cat .T3-T5) / Dibujante (Rango Cat .T4-T6) / Cadenero 1 (Rango Cat .T5-T7) / Cadenero 2 (Rango Cat .T6-T8) / Secretaria (Rango Cat .T7-T9)</v>
      </c>
    </row>
    <row r="34" spans="1:23" s="282" customFormat="1" ht="12.75">
      <c r="A34" s="398" t="s">
        <v>26</v>
      </c>
      <c r="B34" s="398"/>
      <c r="C34" s="410">
        <v>178000</v>
      </c>
      <c r="D34" s="410">
        <f aca="true" t="shared" si="33" ref="D34:P34">+C34*(1+C$4)</f>
        <v>207726</v>
      </c>
      <c r="E34" s="410">
        <f t="shared" si="33"/>
        <v>226899.1098</v>
      </c>
      <c r="F34" s="410">
        <f t="shared" si="33"/>
        <v>246752.78190749997</v>
      </c>
      <c r="G34" s="410">
        <f t="shared" si="33"/>
        <v>265629.36972342373</v>
      </c>
      <c r="H34" s="410">
        <f t="shared" si="33"/>
        <v>284196.8626670911</v>
      </c>
      <c r="I34" s="410">
        <f t="shared" si="33"/>
        <v>302641.2390541853</v>
      </c>
      <c r="J34" s="410">
        <f t="shared" si="33"/>
        <v>319286.50720216543</v>
      </c>
      <c r="K34" s="410">
        <f t="shared" si="33"/>
        <v>334771.9028014705</v>
      </c>
      <c r="L34" s="410">
        <f t="shared" si="33"/>
        <v>349769.6840469763</v>
      </c>
      <c r="M34" s="410">
        <f t="shared" si="33"/>
        <v>369671.5790692493</v>
      </c>
      <c r="N34" s="410">
        <f t="shared" si="33"/>
        <v>398025.3891838607</v>
      </c>
      <c r="O34" s="410">
        <f t="shared" si="33"/>
        <v>405985.8969675379</v>
      </c>
      <c r="P34" s="410">
        <f t="shared" si="33"/>
        <v>418855.6499014089</v>
      </c>
      <c r="Q34" s="410">
        <f t="shared" si="4"/>
        <v>434478.96564273146</v>
      </c>
      <c r="R34" s="410">
        <f t="shared" si="5"/>
        <v>445080.2524044141</v>
      </c>
      <c r="S34" s="410">
        <f t="shared" si="6"/>
        <v>456652.3389669289</v>
      </c>
      <c r="T34" s="410">
        <f t="shared" si="6"/>
        <v>472635.1708307714</v>
      </c>
      <c r="U34" s="410">
        <f t="shared" si="6"/>
        <v>487759.4962973561</v>
      </c>
      <c r="V34" s="282" t="s">
        <v>689</v>
      </c>
      <c r="W34" s="413" t="str">
        <f t="shared" si="26"/>
        <v> / Aux. Ing. (Rango Cat .T1-T3) / Topógrafo (Rango Cat .T2-T4) / Maestro (Rango Cat .T3-T5) / Dibujante (Rango Cat .T4-T6) / Cadenero 1 (Rango Cat .T5-T7) / Cadenero 2 (Rango Cat .T6-T8) / Secretaria (Rango Cat .T7-T9) / Conductor (Rango Cat .T8-T10)</v>
      </c>
    </row>
    <row r="35" spans="1:23" s="282" customFormat="1" ht="12.75">
      <c r="A35" s="398" t="s">
        <v>29</v>
      </c>
      <c r="B35" s="398"/>
      <c r="C35" s="410">
        <v>4500</v>
      </c>
      <c r="D35" s="410">
        <f aca="true" t="shared" si="34" ref="D35:P35">+C35*(1+C$4)</f>
        <v>5251.5</v>
      </c>
      <c r="E35" s="410">
        <f t="shared" si="34"/>
        <v>5736.21345</v>
      </c>
      <c r="F35" s="410">
        <f t="shared" si="34"/>
        <v>6238.132126875</v>
      </c>
      <c r="G35" s="410">
        <f t="shared" si="34"/>
        <v>6715.349234580937</v>
      </c>
      <c r="H35" s="410">
        <f t="shared" si="34"/>
        <v>7184.752146078145</v>
      </c>
      <c r="I35" s="410">
        <f t="shared" si="34"/>
        <v>7651.042560358616</v>
      </c>
      <c r="J35" s="410">
        <f t="shared" si="34"/>
        <v>8071.84990117834</v>
      </c>
      <c r="K35" s="410">
        <f t="shared" si="34"/>
        <v>8463.33462138549</v>
      </c>
      <c r="L35" s="410">
        <f t="shared" si="34"/>
        <v>8842.49201242356</v>
      </c>
      <c r="M35" s="410">
        <f t="shared" si="34"/>
        <v>9345.62980793046</v>
      </c>
      <c r="N35" s="410">
        <f t="shared" si="34"/>
        <v>10062.439614198725</v>
      </c>
      <c r="O35" s="410">
        <f t="shared" si="34"/>
        <v>10263.6884064827</v>
      </c>
      <c r="P35" s="410">
        <f t="shared" si="34"/>
        <v>10589.047328968203</v>
      </c>
      <c r="Q35" s="410">
        <f t="shared" si="4"/>
        <v>10984.018794338719</v>
      </c>
      <c r="R35" s="410">
        <f t="shared" si="5"/>
        <v>11252.028852920583</v>
      </c>
      <c r="S35" s="410">
        <f t="shared" si="6"/>
        <v>11544.581603096518</v>
      </c>
      <c r="T35" s="410">
        <f t="shared" si="6"/>
        <v>11948.641959204895</v>
      </c>
      <c r="U35" s="410">
        <f t="shared" si="6"/>
        <v>12330.998501899452</v>
      </c>
      <c r="W35" s="409" t="s">
        <v>690</v>
      </c>
    </row>
    <row r="36" spans="1:23" s="282" customFormat="1" ht="12.75">
      <c r="A36" s="398" t="s">
        <v>30</v>
      </c>
      <c r="B36" s="398"/>
      <c r="C36" s="410">
        <v>4000</v>
      </c>
      <c r="D36" s="410">
        <f aca="true" t="shared" si="35" ref="D36:O36">+C36*(1+C$4)</f>
        <v>4668</v>
      </c>
      <c r="E36" s="410">
        <f t="shared" si="35"/>
        <v>5098.856400000001</v>
      </c>
      <c r="F36" s="410">
        <f t="shared" si="35"/>
        <v>5545.006335</v>
      </c>
      <c r="G36" s="410">
        <f t="shared" si="35"/>
        <v>5969.1993196275</v>
      </c>
      <c r="H36" s="410">
        <f t="shared" si="35"/>
        <v>6386.446352069463</v>
      </c>
      <c r="I36" s="410">
        <f t="shared" si="35"/>
        <v>6800.92672031877</v>
      </c>
      <c r="J36" s="410">
        <f t="shared" si="35"/>
        <v>7174.977689936302</v>
      </c>
      <c r="K36" s="410">
        <f t="shared" si="35"/>
        <v>7522.964107898213</v>
      </c>
      <c r="L36" s="410">
        <f t="shared" si="35"/>
        <v>7859.992899932053</v>
      </c>
      <c r="M36" s="410">
        <f t="shared" si="35"/>
        <v>8307.226495938186</v>
      </c>
      <c r="N36" s="410">
        <f t="shared" si="35"/>
        <v>8944.390768176645</v>
      </c>
      <c r="O36" s="410">
        <f t="shared" si="35"/>
        <v>9123.278583540177</v>
      </c>
      <c r="P36" s="410">
        <f>+O36*(1+O$4)</f>
        <v>9412.486514638402</v>
      </c>
      <c r="Q36" s="410">
        <f t="shared" si="4"/>
        <v>9763.572261634416</v>
      </c>
      <c r="R36" s="410">
        <f t="shared" si="5"/>
        <v>10001.803424818296</v>
      </c>
      <c r="S36" s="410">
        <f t="shared" si="6"/>
        <v>10261.850313863572</v>
      </c>
      <c r="T36" s="410">
        <f t="shared" si="6"/>
        <v>10621.015074848796</v>
      </c>
      <c r="U36" s="410">
        <f t="shared" si="6"/>
        <v>10960.887557243957</v>
      </c>
      <c r="W36" s="409"/>
    </row>
  </sheetData>
  <sheetProtection/>
  <mergeCells count="1">
    <mergeCell ref="A1:K1"/>
  </mergeCells>
  <printOptions/>
  <pageMargins left="0.7874015748031497" right="0.7874015748031497" top="0.7874015748031497" bottom="0.7874015748031497" header="0.5905511811023623" footer="0.5905511811023623"/>
  <pageSetup fitToHeight="1" fitToWidth="1" horizontalDpi="600" verticalDpi="600" orientation="landscape" r:id="rId3"/>
  <headerFooter alignWithMargins="0">
    <oddHeader>&amp;CAnálisis de Costos - Área de Estudios Previos&amp;RAnálisis de Costos Grupo de Estudios Previos FONADE</oddHeader>
    <oddFooter>&amp;L16/02/2010&amp;C&amp;P de &amp;N&amp;R0</oddFooter>
  </headerFooter>
  <legacyDrawing r:id="rId2"/>
</worksheet>
</file>

<file path=xl/worksheets/sheet3.xml><?xml version="1.0" encoding="utf-8"?>
<worksheet xmlns="http://schemas.openxmlformats.org/spreadsheetml/2006/main" xmlns:r="http://schemas.openxmlformats.org/officeDocument/2006/relationships">
  <sheetPr codeName="Hoja3">
    <tabColor theme="9" tint="-0.24997000396251678"/>
    <pageSetUpPr fitToPage="1"/>
  </sheetPr>
  <dimension ref="A1:M38"/>
  <sheetViews>
    <sheetView showGridLines="0" workbookViewId="0" topLeftCell="A1">
      <selection activeCell="E20" sqref="E20"/>
    </sheetView>
  </sheetViews>
  <sheetFormatPr defaultColWidth="12" defaultRowHeight="12.75"/>
  <cols>
    <col min="1" max="1" width="11.66015625" style="627" bestFit="1" customWidth="1"/>
    <col min="2" max="2" width="47.5" style="627" customWidth="1"/>
    <col min="3" max="3" width="10.66015625" style="627" customWidth="1"/>
    <col min="4" max="4" width="12.66015625" style="627" customWidth="1"/>
    <col min="5" max="6" width="12" style="627" customWidth="1"/>
    <col min="7" max="7" width="12.5" style="627" bestFit="1" customWidth="1"/>
    <col min="8" max="8" width="13.66015625" style="627" customWidth="1"/>
    <col min="9" max="9" width="13.5" style="627" customWidth="1"/>
    <col min="10" max="10" width="13.33203125" style="627" customWidth="1"/>
    <col min="11" max="11" width="15.83203125" style="627" customWidth="1"/>
    <col min="12" max="16384" width="12" style="627" customWidth="1"/>
  </cols>
  <sheetData>
    <row r="1" spans="1:4" ht="43.5" customHeight="1">
      <c r="A1" s="936" t="s">
        <v>787</v>
      </c>
      <c r="B1" s="937"/>
      <c r="C1" s="937"/>
      <c r="D1" s="937"/>
    </row>
    <row r="2" spans="1:5" ht="18" customHeight="1">
      <c r="A2" s="938"/>
      <c r="B2" s="938"/>
      <c r="C2" s="938"/>
      <c r="D2" s="938"/>
      <c r="E2" s="791"/>
    </row>
    <row r="3" spans="1:4" ht="7.5" customHeight="1" thickBot="1">
      <c r="A3" s="939"/>
      <c r="B3" s="939"/>
      <c r="C3" s="939"/>
      <c r="D3" s="939"/>
    </row>
    <row r="4" spans="1:4" s="636" customFormat="1" ht="51.75" customHeight="1" thickBot="1">
      <c r="A4" s="792" t="s">
        <v>175</v>
      </c>
      <c r="B4" s="933" t="s">
        <v>806</v>
      </c>
      <c r="C4" s="934"/>
      <c r="D4" s="935"/>
    </row>
    <row r="5" spans="1:4" s="636" customFormat="1" ht="3.75" customHeight="1">
      <c r="A5" s="932"/>
      <c r="B5" s="932"/>
      <c r="C5" s="932"/>
      <c r="D5" s="932"/>
    </row>
    <row r="6" spans="1:4" s="636" customFormat="1" ht="13.5" thickBot="1">
      <c r="A6" s="793"/>
      <c r="B6" s="793"/>
      <c r="C6" s="793"/>
      <c r="D6" s="793"/>
    </row>
    <row r="7" spans="1:4" s="626" customFormat="1" ht="15">
      <c r="A7" s="794" t="s">
        <v>37</v>
      </c>
      <c r="B7" s="795" t="s">
        <v>38</v>
      </c>
      <c r="C7" s="940" t="s">
        <v>39</v>
      </c>
      <c r="D7" s="941"/>
    </row>
    <row r="8" spans="1:5" ht="12.75">
      <c r="A8" s="796">
        <v>1</v>
      </c>
      <c r="B8" s="797" t="s">
        <v>40</v>
      </c>
      <c r="C8" s="797"/>
      <c r="D8" s="798">
        <v>1</v>
      </c>
      <c r="E8" s="807"/>
    </row>
    <row r="9" spans="1:5" ht="12.75">
      <c r="A9" s="796">
        <v>2</v>
      </c>
      <c r="B9" s="797" t="s">
        <v>41</v>
      </c>
      <c r="C9" s="799"/>
      <c r="D9" s="798">
        <f>SUM(C10:C13)</f>
        <v>0.20915996666666664</v>
      </c>
      <c r="E9" s="807"/>
    </row>
    <row r="10" spans="1:5" ht="12.75">
      <c r="A10" s="796">
        <v>2.1</v>
      </c>
      <c r="B10" s="797" t="s">
        <v>42</v>
      </c>
      <c r="C10" s="863">
        <v>0.08333</v>
      </c>
      <c r="D10" s="798"/>
      <c r="E10" s="807"/>
    </row>
    <row r="11" spans="1:5" ht="12.75">
      <c r="A11" s="796">
        <v>2.2</v>
      </c>
      <c r="B11" s="797" t="s">
        <v>43</v>
      </c>
      <c r="C11" s="863">
        <f>1%*C10</f>
        <v>0.0008333</v>
      </c>
      <c r="D11" s="800"/>
      <c r="E11" s="807"/>
    </row>
    <row r="12" spans="1:5" ht="12.75">
      <c r="A12" s="796">
        <v>2.3</v>
      </c>
      <c r="B12" s="797" t="s">
        <v>44</v>
      </c>
      <c r="C12" s="863">
        <f>15/360</f>
        <v>0.041666666666666664</v>
      </c>
      <c r="D12" s="800"/>
      <c r="E12" s="807"/>
    </row>
    <row r="13" spans="1:5" ht="12.75">
      <c r="A13" s="796">
        <v>2.4</v>
      </c>
      <c r="B13" s="797" t="s">
        <v>242</v>
      </c>
      <c r="C13" s="863">
        <v>0.08333</v>
      </c>
      <c r="D13" s="800"/>
      <c r="E13" s="807"/>
    </row>
    <row r="14" spans="1:5" ht="12.75">
      <c r="A14" s="796">
        <v>3</v>
      </c>
      <c r="B14" s="797" t="s">
        <v>46</v>
      </c>
      <c r="C14" s="864"/>
      <c r="D14" s="800">
        <f>SUM(C15:C20)</f>
        <v>0.3833</v>
      </c>
      <c r="E14" s="807"/>
    </row>
    <row r="15" spans="1:6" ht="12.75">
      <c r="A15" s="796">
        <v>3.1</v>
      </c>
      <c r="B15" s="797" t="s">
        <v>663</v>
      </c>
      <c r="C15" s="863">
        <f>(12%*2/3)+0.005</f>
        <v>0.085</v>
      </c>
      <c r="D15" s="800"/>
      <c r="E15" s="807"/>
      <c r="F15" s="801"/>
    </row>
    <row r="16" spans="1:6" ht="12.75">
      <c r="A16" s="796">
        <v>3.2</v>
      </c>
      <c r="B16" s="797" t="s">
        <v>664</v>
      </c>
      <c r="C16" s="863">
        <f>16%*3/4</f>
        <v>0.12</v>
      </c>
      <c r="D16" s="800"/>
      <c r="E16" s="807"/>
      <c r="F16" s="801"/>
    </row>
    <row r="17" spans="1:5" ht="12.75">
      <c r="A17" s="796">
        <v>3.3</v>
      </c>
      <c r="B17" s="797" t="s">
        <v>665</v>
      </c>
      <c r="C17" s="863">
        <v>0.01</v>
      </c>
      <c r="D17" s="800"/>
      <c r="E17" s="807"/>
    </row>
    <row r="18" spans="1:5" ht="12.75">
      <c r="A18" s="796">
        <v>3.4</v>
      </c>
      <c r="B18" s="797" t="s">
        <v>666</v>
      </c>
      <c r="C18" s="865">
        <f>VLOOKUP(J37,CotizacionARP,2,1)</f>
        <v>0.0783</v>
      </c>
      <c r="D18" s="800"/>
      <c r="E18" s="807"/>
    </row>
    <row r="19" spans="1:5" ht="12.75">
      <c r="A19" s="796">
        <v>3.5</v>
      </c>
      <c r="B19" s="797" t="s">
        <v>667</v>
      </c>
      <c r="C19" s="863">
        <v>0.09</v>
      </c>
      <c r="D19" s="800"/>
      <c r="E19" s="807"/>
    </row>
    <row r="20" spans="1:5" ht="12.75">
      <c r="A20" s="796">
        <v>4</v>
      </c>
      <c r="B20" s="797" t="s">
        <v>52</v>
      </c>
      <c r="C20" s="743">
        <v>0</v>
      </c>
      <c r="D20" s="800">
        <f>SUM(C21:C22)</f>
        <v>0.02</v>
      </c>
      <c r="E20" s="807"/>
    </row>
    <row r="21" spans="1:5" ht="12.75">
      <c r="A21" s="796">
        <v>4.1</v>
      </c>
      <c r="B21" s="797" t="s">
        <v>53</v>
      </c>
      <c r="C21" s="743">
        <v>0.02</v>
      </c>
      <c r="D21" s="800"/>
      <c r="E21" s="807"/>
    </row>
    <row r="22" spans="1:10" ht="13.5" thickBot="1">
      <c r="A22" s="802">
        <v>4.2</v>
      </c>
      <c r="B22" s="803" t="s">
        <v>54</v>
      </c>
      <c r="C22" s="804">
        <v>0</v>
      </c>
      <c r="D22" s="805"/>
      <c r="E22" s="807"/>
      <c r="H22" s="806"/>
      <c r="I22" s="807"/>
      <c r="J22" s="808"/>
    </row>
    <row r="23" spans="1:10" s="636" customFormat="1" ht="22.5" customHeight="1" thickBot="1">
      <c r="A23" s="929" t="s">
        <v>55</v>
      </c>
      <c r="B23" s="930"/>
      <c r="C23" s="931"/>
      <c r="D23" s="809">
        <f>SUM(D8:D22)</f>
        <v>1.6124599666666666</v>
      </c>
      <c r="E23" s="807"/>
      <c r="G23" s="627"/>
      <c r="H23" s="806"/>
      <c r="I23" s="627"/>
      <c r="J23" s="627"/>
    </row>
    <row r="24" spans="1:10" ht="12.75">
      <c r="A24" s="810"/>
      <c r="B24" s="811"/>
      <c r="C24" s="811"/>
      <c r="D24" s="812"/>
      <c r="E24" s="807"/>
      <c r="H24" s="806"/>
      <c r="I24" s="813"/>
      <c r="J24" s="636"/>
    </row>
    <row r="25" spans="1:10" s="678" customFormat="1" ht="12.75">
      <c r="A25" s="796">
        <v>5</v>
      </c>
      <c r="B25" s="797" t="s">
        <v>612</v>
      </c>
      <c r="C25" s="797"/>
      <c r="D25" s="814" t="str">
        <f>+IF(TipoCosteo=1,"0%","20%")</f>
        <v>20%</v>
      </c>
      <c r="E25" s="807"/>
      <c r="H25" s="806"/>
      <c r="I25" s="627"/>
      <c r="J25" s="627"/>
    </row>
    <row r="26" spans="1:10" s="678" customFormat="1" ht="12.75">
      <c r="A26" s="796"/>
      <c r="B26" s="797" t="s">
        <v>623</v>
      </c>
      <c r="C26" s="797"/>
      <c r="D26" s="814">
        <v>0</v>
      </c>
      <c r="E26" s="807"/>
      <c r="H26" s="806"/>
      <c r="I26" s="627"/>
      <c r="J26" s="627"/>
    </row>
    <row r="27" spans="1:10" s="678" customFormat="1" ht="13.5" thickBot="1">
      <c r="A27" s="802">
        <v>6</v>
      </c>
      <c r="B27" s="803" t="s">
        <v>613</v>
      </c>
      <c r="C27" s="803"/>
      <c r="D27" s="815" t="str">
        <f>+IF(TipoCosteo=1,"0%","20%")</f>
        <v>20%</v>
      </c>
      <c r="E27" s="807"/>
      <c r="H27" s="816"/>
      <c r="J27" s="817"/>
    </row>
    <row r="28" spans="1:10" ht="13.5" thickBot="1">
      <c r="A28" s="647"/>
      <c r="H28" s="678"/>
      <c r="I28" s="678"/>
      <c r="J28" s="678"/>
    </row>
    <row r="29" spans="7:13" ht="12.75">
      <c r="G29" s="818"/>
      <c r="H29" s="819" t="s">
        <v>772</v>
      </c>
      <c r="I29" s="819"/>
      <c r="J29" s="819"/>
      <c r="K29" s="820"/>
      <c r="L29" s="820"/>
      <c r="M29" s="821"/>
    </row>
    <row r="30" spans="2:13" ht="25.5">
      <c r="B30" s="822" t="s">
        <v>668</v>
      </c>
      <c r="C30" s="823" t="s">
        <v>804</v>
      </c>
      <c r="D30" s="824"/>
      <c r="G30" s="825" t="s">
        <v>243</v>
      </c>
      <c r="H30" s="826" t="s">
        <v>244</v>
      </c>
      <c r="I30" s="826" t="s">
        <v>244</v>
      </c>
      <c r="J30" s="827" t="s">
        <v>244</v>
      </c>
      <c r="K30" s="828" t="s">
        <v>243</v>
      </c>
      <c r="L30" s="829"/>
      <c r="M30" s="728"/>
    </row>
    <row r="31" spans="1:13" ht="51.75" thickBot="1">
      <c r="A31" s="830"/>
      <c r="B31" s="831"/>
      <c r="C31" s="831"/>
      <c r="D31" s="832"/>
      <c r="G31" s="833" t="s">
        <v>773</v>
      </c>
      <c r="H31" s="834" t="s">
        <v>247</v>
      </c>
      <c r="I31" s="834" t="s">
        <v>248</v>
      </c>
      <c r="J31" s="835" t="s">
        <v>249</v>
      </c>
      <c r="K31" s="836" t="s">
        <v>258</v>
      </c>
      <c r="L31" s="837" t="s">
        <v>268</v>
      </c>
      <c r="M31" s="838" t="s">
        <v>269</v>
      </c>
    </row>
    <row r="32" spans="1:13" ht="12.75">
      <c r="A32" s="830"/>
      <c r="B32" s="831"/>
      <c r="C32" s="831"/>
      <c r="D32" s="832"/>
      <c r="G32" s="839">
        <v>1</v>
      </c>
      <c r="H32" s="840">
        <f>+(I32+J32)/2</f>
        <v>0.00609</v>
      </c>
      <c r="I32" s="841">
        <v>0.00522</v>
      </c>
      <c r="J32" s="842">
        <v>0.00696</v>
      </c>
      <c r="K32" s="843"/>
      <c r="L32" s="844">
        <v>1</v>
      </c>
      <c r="M32" s="845">
        <v>5</v>
      </c>
    </row>
    <row r="33" spans="7:13" ht="12.75">
      <c r="G33" s="846">
        <v>2</v>
      </c>
      <c r="H33" s="847">
        <f>+(I33+J33)/2</f>
        <v>0.013485</v>
      </c>
      <c r="I33" s="848">
        <v>0.01044</v>
      </c>
      <c r="J33" s="849">
        <v>0.01653</v>
      </c>
      <c r="K33" s="850"/>
      <c r="L33" s="851">
        <v>2</v>
      </c>
      <c r="M33" s="852">
        <v>5</v>
      </c>
    </row>
    <row r="34" spans="7:13" ht="12.75">
      <c r="G34" s="846">
        <v>3</v>
      </c>
      <c r="H34" s="847">
        <f>+(I34+J34)/2</f>
        <v>0.032625</v>
      </c>
      <c r="I34" s="848">
        <v>0.02436</v>
      </c>
      <c r="J34" s="849">
        <v>0.04089</v>
      </c>
      <c r="K34" s="850"/>
      <c r="L34" s="851">
        <v>3</v>
      </c>
      <c r="M34" s="852">
        <v>1</v>
      </c>
    </row>
    <row r="35" spans="7:13" ht="12.75">
      <c r="G35" s="846">
        <v>4</v>
      </c>
      <c r="H35" s="847">
        <f>+(I35+J35)/2</f>
        <v>0.05205</v>
      </c>
      <c r="I35" s="848">
        <v>0.0435</v>
      </c>
      <c r="J35" s="849">
        <v>0.0606</v>
      </c>
      <c r="K35" s="850"/>
      <c r="L35" s="853">
        <v>4</v>
      </c>
      <c r="M35" s="854">
        <v>2</v>
      </c>
    </row>
    <row r="36" spans="7:13" ht="13.5" thickBot="1">
      <c r="G36" s="855">
        <v>5</v>
      </c>
      <c r="H36" s="856">
        <f>+(I36+J36)/2</f>
        <v>0.0783</v>
      </c>
      <c r="I36" s="857">
        <v>0.0696</v>
      </c>
      <c r="J36" s="858">
        <v>0.087</v>
      </c>
      <c r="K36" s="859"/>
      <c r="L36" s="860">
        <v>5</v>
      </c>
      <c r="M36" s="861">
        <v>1</v>
      </c>
    </row>
    <row r="37" spans="8:10" ht="12.75">
      <c r="H37" s="783" t="s">
        <v>246</v>
      </c>
      <c r="J37" s="862">
        <f>VLOOKUP(TipoCosteo,TipoCosteoNivelRiesgo,2,FALSE)</f>
        <v>5</v>
      </c>
    </row>
    <row r="38" spans="7:10" ht="12.75">
      <c r="G38" s="678"/>
      <c r="H38" s="816"/>
      <c r="I38" s="678"/>
      <c r="J38" s="817"/>
    </row>
    <row r="39" ht="12.75"/>
    <row r="40" ht="12.75"/>
    <row r="41" ht="12.75"/>
  </sheetData>
  <sheetProtection password="CE28" sheet="1" formatCells="0" formatColumns="0" formatRows="0" insertColumns="0" insertRows="0" insertHyperlinks="0" deleteColumns="0" deleteRows="0"/>
  <mergeCells count="7">
    <mergeCell ref="A23:C23"/>
    <mergeCell ref="A5:D5"/>
    <mergeCell ref="B4:D4"/>
    <mergeCell ref="A1:D1"/>
    <mergeCell ref="A2:D2"/>
    <mergeCell ref="A3:D3"/>
    <mergeCell ref="C7:D7"/>
  </mergeCells>
  <printOptions horizontalCentered="1" verticalCentered="1"/>
  <pageMargins left="1.5748031496062993" right="0.7874015748031497" top="1.1023622047244095" bottom="0.7874015748031497" header="0.5905511811023623" footer="0.5905511811023623"/>
  <pageSetup fitToHeight="1" fitToWidth="1" horizontalDpi="600" verticalDpi="600" orientation="portrait" r:id="rId3"/>
  <headerFooter alignWithMargins="0">
    <oddHeader>&amp;CAnálisis de Costos - Área de Estudios Previos</oddHeader>
    <oddFooter>&amp;L16/02/2010</oddFooter>
  </headerFooter>
  <legacyDrawing r:id="rId2"/>
</worksheet>
</file>

<file path=xl/worksheets/sheet4.xml><?xml version="1.0" encoding="utf-8"?>
<worksheet xmlns="http://schemas.openxmlformats.org/spreadsheetml/2006/main" xmlns:r="http://schemas.openxmlformats.org/officeDocument/2006/relationships">
  <sheetPr codeName="Hoja1">
    <tabColor rgb="FFFF0000"/>
  </sheetPr>
  <dimension ref="A1:IN1380"/>
  <sheetViews>
    <sheetView showGridLines="0" tabSelected="1" zoomScalePageLayoutView="0" workbookViewId="0" topLeftCell="A10">
      <selection activeCell="D36" sqref="D36"/>
    </sheetView>
  </sheetViews>
  <sheetFormatPr defaultColWidth="12" defaultRowHeight="12.75" outlineLevelRow="3"/>
  <cols>
    <col min="1" max="1" width="41.5" style="182" customWidth="1"/>
    <col min="2" max="2" width="14.83203125" style="183" customWidth="1"/>
    <col min="3" max="3" width="40.66015625" style="185" customWidth="1"/>
    <col min="4" max="4" width="13" style="186" customWidth="1"/>
    <col min="5" max="5" width="13.16015625" style="183" customWidth="1"/>
    <col min="6" max="6" width="18.66015625" style="183" customWidth="1"/>
    <col min="7" max="7" width="16.5" style="183" customWidth="1"/>
    <col min="8" max="8" width="22" style="183" customWidth="1"/>
    <col min="9" max="9" width="16.33203125" style="183" hidden="1" customWidth="1"/>
    <col min="10" max="10" width="20.33203125" style="183" customWidth="1"/>
    <col min="11" max="11" width="15.66015625" style="182" bestFit="1" customWidth="1"/>
    <col min="12" max="12" width="9.5" style="182" hidden="1" customWidth="1"/>
    <col min="13" max="13" width="14.5" style="182" customWidth="1"/>
    <col min="14" max="14" width="13.16015625" style="182" customWidth="1"/>
    <col min="15" max="15" width="26.33203125" style="183" customWidth="1"/>
    <col min="16" max="16" width="27.83203125" style="182" customWidth="1"/>
    <col min="17" max="17" width="16.83203125" style="184" customWidth="1"/>
    <col min="18" max="18" width="10" style="182" customWidth="1"/>
    <col min="19" max="240" width="12" style="182" customWidth="1"/>
    <col min="241" max="241" width="16" style="182" bestFit="1" customWidth="1"/>
    <col min="242" max="243" width="12" style="182" customWidth="1"/>
    <col min="244" max="244" width="22.16015625" style="182" bestFit="1" customWidth="1"/>
    <col min="245" max="245" width="30" style="182" bestFit="1" customWidth="1"/>
    <col min="246" max="246" width="14" style="183" bestFit="1" customWidth="1"/>
    <col min="247" max="247" width="12.33203125" style="183" bestFit="1" customWidth="1"/>
    <col min="248" max="16384" width="12" style="182" customWidth="1"/>
  </cols>
  <sheetData>
    <row r="1" spans="1:17" ht="15.75">
      <c r="A1" s="949" t="s">
        <v>790</v>
      </c>
      <c r="B1" s="949"/>
      <c r="C1" s="949"/>
      <c r="D1" s="949"/>
      <c r="E1" s="949"/>
      <c r="F1" s="949"/>
      <c r="G1" s="949"/>
      <c r="H1" s="949"/>
      <c r="I1" s="949"/>
      <c r="J1" s="949"/>
      <c r="K1" s="949"/>
      <c r="L1" s="949"/>
      <c r="M1" s="949"/>
      <c r="N1" s="949"/>
      <c r="O1" s="949"/>
      <c r="P1" s="949"/>
      <c r="Q1" s="181">
        <f ca="1">+TODAY()</f>
        <v>42354</v>
      </c>
    </row>
    <row r="2" spans="1:16" ht="15.75">
      <c r="A2" s="950">
        <f>+'INFORMACION DEL FP'!A2:D2</f>
        <v>0</v>
      </c>
      <c r="B2" s="950"/>
      <c r="C2" s="950"/>
      <c r="D2" s="950"/>
      <c r="E2" s="950"/>
      <c r="F2" s="950"/>
      <c r="G2" s="950"/>
      <c r="H2" s="950"/>
      <c r="I2" s="950"/>
      <c r="J2" s="950"/>
      <c r="K2" s="950"/>
      <c r="L2" s="950"/>
      <c r="M2" s="950"/>
      <c r="N2" s="950"/>
      <c r="O2" s="950"/>
      <c r="P2" s="950"/>
    </row>
    <row r="3" spans="1:16" ht="12.75">
      <c r="A3" s="951"/>
      <c r="B3" s="951"/>
      <c r="C3" s="951"/>
      <c r="D3" s="951"/>
      <c r="E3" s="951"/>
      <c r="F3" s="951"/>
      <c r="G3" s="951"/>
      <c r="H3" s="951"/>
      <c r="I3" s="951"/>
      <c r="J3" s="951"/>
      <c r="K3" s="951"/>
      <c r="L3" s="951"/>
      <c r="M3" s="951"/>
      <c r="N3" s="951"/>
      <c r="O3" s="951"/>
      <c r="P3" s="951"/>
    </row>
    <row r="4" spans="1:16" ht="15.75">
      <c r="A4" s="949" t="s">
        <v>775</v>
      </c>
      <c r="B4" s="949"/>
      <c r="C4" s="949"/>
      <c r="D4" s="949"/>
      <c r="E4" s="949"/>
      <c r="F4" s="949"/>
      <c r="G4" s="949"/>
      <c r="H4" s="949"/>
      <c r="I4" s="949"/>
      <c r="J4" s="949"/>
      <c r="K4" s="949"/>
      <c r="L4" s="949"/>
      <c r="M4" s="949"/>
      <c r="N4" s="949"/>
      <c r="O4" s="949"/>
      <c r="P4" s="949"/>
    </row>
    <row r="5" spans="15:18" ht="13.5" thickBot="1">
      <c r="O5" s="187"/>
      <c r="P5" s="188"/>
      <c r="Q5" s="189"/>
      <c r="R5" s="188"/>
    </row>
    <row r="6" spans="1:18" ht="56.25" customHeight="1" thickBot="1">
      <c r="A6" s="190" t="s">
        <v>32</v>
      </c>
      <c r="B6" s="952" t="str">
        <f>+'INFORMACION DEL FP'!B4</f>
        <v>INTERVENTORÍA TÉCNICA, ADMINISTRATIVA, FINANCIERA, CONTABLE, AMBIENTAL, SOCIAL  Y  JURÍDICA PARA LA EJECUCIÓN CONDICIONAL POR FASES DEL PROYECTO "MEJORAMIENTO DEL SISTEMA DE ACUEDUCTO SEGÚN PLAN MAESTRO DEL MUNICIPIO DE RONCESVALLES" - FASE III</v>
      </c>
      <c r="C6" s="953"/>
      <c r="D6" s="953"/>
      <c r="E6" s="953"/>
      <c r="F6" s="953"/>
      <c r="G6" s="954"/>
      <c r="H6" s="191"/>
      <c r="I6" s="191"/>
      <c r="J6" s="955" t="s">
        <v>157</v>
      </c>
      <c r="K6" s="956"/>
      <c r="L6" s="956"/>
      <c r="M6" s="956"/>
      <c r="N6" s="956"/>
      <c r="O6" s="548">
        <f>+'IMPUESTOS Y VR TOTAL'!B88</f>
        <v>180958550</v>
      </c>
      <c r="P6" s="188"/>
      <c r="Q6" s="192" t="s">
        <v>34</v>
      </c>
      <c r="R6" s="193"/>
    </row>
    <row r="7" spans="1:18" s="201" customFormat="1" ht="12" customHeight="1" thickBot="1">
      <c r="A7" s="194"/>
      <c r="B7" s="195"/>
      <c r="C7" s="195"/>
      <c r="D7" s="195"/>
      <c r="E7" s="195"/>
      <c r="F7" s="196"/>
      <c r="G7" s="197"/>
      <c r="H7" s="197"/>
      <c r="I7" s="197"/>
      <c r="J7" s="198"/>
      <c r="K7" s="198"/>
      <c r="L7" s="198"/>
      <c r="M7" s="198"/>
      <c r="N7" s="198"/>
      <c r="O7" s="195"/>
      <c r="P7" s="199"/>
      <c r="Q7" s="192" t="s">
        <v>627</v>
      </c>
      <c r="R7" s="200"/>
    </row>
    <row r="8" spans="1:18" ht="12.75" customHeight="1" thickBot="1">
      <c r="A8" s="202" t="s">
        <v>33</v>
      </c>
      <c r="B8" s="203"/>
      <c r="D8" s="875">
        <v>2</v>
      </c>
      <c r="E8" s="204">
        <f>+IF(D8=1,"Entre Costo Directo","")</f>
      </c>
      <c r="O8" s="550">
        <f>+$E$8</f>
      </c>
      <c r="P8" s="188"/>
      <c r="Q8" s="192" t="s">
        <v>635</v>
      </c>
      <c r="R8" s="193"/>
    </row>
    <row r="9" spans="1:18" ht="23.25" customHeight="1" thickBot="1">
      <c r="A9" s="191"/>
      <c r="D9" s="182"/>
      <c r="J9" s="947">
        <f>+IF(D8=1,"COSTO DIRECTO DE LA OBRA","")</f>
      </c>
      <c r="K9" s="948"/>
      <c r="L9" s="948"/>
      <c r="M9" s="948"/>
      <c r="N9" s="948"/>
      <c r="O9" s="870"/>
      <c r="P9" s="205"/>
      <c r="Q9" s="192" t="s">
        <v>36</v>
      </c>
      <c r="R9" s="193"/>
    </row>
    <row r="10" spans="1:18" ht="18" customHeight="1" thickBot="1">
      <c r="A10" s="551" t="s">
        <v>56</v>
      </c>
      <c r="B10" s="552">
        <f>4.3*DuracionMeses</f>
        <v>25.799999999999997</v>
      </c>
      <c r="C10" s="553" t="s">
        <v>681</v>
      </c>
      <c r="D10" s="903">
        <v>6</v>
      </c>
      <c r="E10" s="554" t="s">
        <v>58</v>
      </c>
      <c r="J10" s="944" t="s">
        <v>124</v>
      </c>
      <c r="K10" s="945"/>
      <c r="L10" s="945"/>
      <c r="M10" s="945"/>
      <c r="N10" s="946"/>
      <c r="O10" s="549">
        <f>IF(TipoCosteo=1,(Profesional+Tecnico+NoFacturable+Calidad+Oficina+Equipos+Tramite+Viajes+Ensayos+Campamento),IF(TipoCosteo=2,(Profesional+Tecnico+NoFacturable+Calidad+Oficina+Equipos+Tramite+Viajes+Ensayos),(Profesional+Tecnico+Oficina+NoFacturable+Calidad+Equipos+Tramite+Viajes+Ensayos)))</f>
        <v>150461295.028115</v>
      </c>
      <c r="P10" s="188"/>
      <c r="Q10" s="192" t="s">
        <v>245</v>
      </c>
      <c r="R10" s="193"/>
    </row>
    <row r="11" spans="1:18" ht="15" customHeight="1" thickBot="1">
      <c r="A11" s="191"/>
      <c r="D11" s="206"/>
      <c r="P11" s="188"/>
      <c r="Q11" s="189"/>
      <c r="R11" s="193"/>
    </row>
    <row r="12" spans="1:18" ht="15" customHeight="1" thickBot="1">
      <c r="A12" s="207" t="s">
        <v>596</v>
      </c>
      <c r="B12" s="208"/>
      <c r="C12" s="209"/>
      <c r="D12" s="210"/>
      <c r="E12" s="208"/>
      <c r="F12" s="208"/>
      <c r="G12" s="208"/>
      <c r="H12" s="208"/>
      <c r="I12" s="208"/>
      <c r="J12" s="208"/>
      <c r="K12" s="210"/>
      <c r="L12" s="210"/>
      <c r="M12" s="210"/>
      <c r="N12" s="210"/>
      <c r="O12" s="306" t="s">
        <v>63</v>
      </c>
      <c r="P12" s="211">
        <f>SUM(TotalPro)</f>
        <v>95888042.2401097</v>
      </c>
      <c r="Q12" s="212"/>
      <c r="R12" s="213"/>
    </row>
    <row r="13" spans="1:248" s="185" customFormat="1" ht="15" customHeight="1" thickTop="1">
      <c r="A13" s="300" t="s">
        <v>68</v>
      </c>
      <c r="B13" s="301"/>
      <c r="C13" s="302">
        <f>SUM(CdadProfesional)</f>
        <v>4</v>
      </c>
      <c r="D13" s="303" t="s">
        <v>39</v>
      </c>
      <c r="E13" s="301"/>
      <c r="F13" s="304" t="s">
        <v>126</v>
      </c>
      <c r="G13" s="301" t="s">
        <v>67</v>
      </c>
      <c r="H13" s="304" t="s">
        <v>61</v>
      </c>
      <c r="I13" s="304"/>
      <c r="J13" s="301" t="s">
        <v>62</v>
      </c>
      <c r="K13" s="305" t="s">
        <v>65</v>
      </c>
      <c r="L13" s="300" t="s">
        <v>79</v>
      </c>
      <c r="M13" s="303" t="s">
        <v>66</v>
      </c>
      <c r="N13" s="303" t="s">
        <v>127</v>
      </c>
      <c r="O13" s="306">
        <f>+Profesional</f>
        <v>95888042.2401097</v>
      </c>
      <c r="Q13" s="214"/>
      <c r="R13" s="213"/>
      <c r="IN13" s="182"/>
    </row>
    <row r="14" spans="1:18" ht="15">
      <c r="A14" s="913" t="s">
        <v>803</v>
      </c>
      <c r="B14" s="914">
        <v>1</v>
      </c>
      <c r="C14" s="915" t="s">
        <v>3</v>
      </c>
      <c r="D14" s="904">
        <v>0.2</v>
      </c>
      <c r="E14" s="215">
        <f aca="true" t="shared" si="0" ref="E14:E32">DuracionSemanas*D14</f>
        <v>5.16</v>
      </c>
      <c r="F14" s="222">
        <f aca="true" t="shared" si="1" ref="F14:F32">(VLOOKUP(C14,TarifaMT,21,0))</f>
        <v>7469844.870261756</v>
      </c>
      <c r="G14" s="217">
        <f>+IF($D$8=1,1,IF($D$8=2,1,IF($D$8=3,1,IF($D$8=4,1,IF($D$8=5,1,"ERROR")))))</f>
        <v>1</v>
      </c>
      <c r="H14" s="217">
        <f>+F14*G14</f>
        <v>7469844.870261756</v>
      </c>
      <c r="I14" s="217">
        <f>B14*D14*H14</f>
        <v>1493968.9740523512</v>
      </c>
      <c r="J14" s="218">
        <f>+H14/4.3</f>
        <v>1737173.2256422688</v>
      </c>
      <c r="K14" s="219">
        <f>+'INFORMACION DEL FP'!$D$23</f>
        <v>1.6124599666666666</v>
      </c>
      <c r="L14" s="219">
        <f>CODE(C14)</f>
        <v>80</v>
      </c>
      <c r="M14" s="220">
        <f>+IF(L14=84,'INFORMACION DEL FP'!$D$27,'INFORMACION DEL FP'!$D$25)+IF($D$8=1,0,'INFORMACION DEL FP'!$D$26)</f>
        <v>0.2</v>
      </c>
      <c r="N14" s="221">
        <f>+K14+M14</f>
        <v>1.8124599666666665</v>
      </c>
      <c r="O14" s="222">
        <f>E14*J14*N14*B14</f>
        <v>16246553.74147175</v>
      </c>
      <c r="P14" s="223"/>
      <c r="Q14" s="224">
        <f aca="true" t="shared" si="2" ref="Q14:Q32">+DuracionMeses*30*D14/100%</f>
        <v>36</v>
      </c>
      <c r="R14" s="213"/>
    </row>
    <row r="15" spans="1:18" ht="30" outlineLevel="1">
      <c r="A15" s="913" t="s">
        <v>764</v>
      </c>
      <c r="B15" s="914">
        <v>1</v>
      </c>
      <c r="C15" s="915" t="s">
        <v>4</v>
      </c>
      <c r="D15" s="904">
        <v>1</v>
      </c>
      <c r="E15" s="215">
        <f t="shared" si="0"/>
        <v>25.799999999999997</v>
      </c>
      <c r="F15" s="222">
        <f t="shared" si="1"/>
        <v>6302510.345415276</v>
      </c>
      <c r="G15" s="217">
        <f aca="true" t="shared" si="3" ref="G15:G32">+IF($D$8=1,1,IF($D$8=2,1,IF($D$8=3,1,IF($D$8=4,1,IF($D$8=5,1,"ERROR")))))</f>
        <v>1</v>
      </c>
      <c r="H15" s="217">
        <f aca="true" t="shared" si="4" ref="H15:H32">+F15*G15</f>
        <v>6302510.345415276</v>
      </c>
      <c r="I15" s="217">
        <f aca="true" t="shared" si="5" ref="I15:I32">B15*D15*H15</f>
        <v>6302510.345415276</v>
      </c>
      <c r="J15" s="218">
        <f aca="true" t="shared" si="6" ref="J15:J32">+H15/4.3</f>
        <v>1465700.080329134</v>
      </c>
      <c r="K15" s="219">
        <f>+'INFORMACION DEL FP'!$D$23</f>
        <v>1.6124599666666666</v>
      </c>
      <c r="L15" s="219">
        <f aca="true" t="shared" si="7" ref="L15:L32">CODE(C15)</f>
        <v>80</v>
      </c>
      <c r="M15" s="220">
        <f>+IF(L15=84,'INFORMACION DEL FP'!$D$27,'INFORMACION DEL FP'!$D$25)+IF($D$8=1,0,'INFORMACION DEL FP'!$D$26)</f>
        <v>0.2</v>
      </c>
      <c r="N15" s="221">
        <f aca="true" t="shared" si="8" ref="N15:N32">+K15+M15</f>
        <v>1.8124599666666665</v>
      </c>
      <c r="O15" s="222">
        <f aca="true" t="shared" si="9" ref="O15:O32">E15*J15*N15*B15</f>
        <v>68538286.14340615</v>
      </c>
      <c r="Q15" s="224">
        <f t="shared" si="2"/>
        <v>180</v>
      </c>
      <c r="R15" s="213"/>
    </row>
    <row r="16" spans="1:18" ht="15" outlineLevel="2">
      <c r="A16" s="913" t="s">
        <v>788</v>
      </c>
      <c r="B16" s="914">
        <v>1</v>
      </c>
      <c r="C16" s="915" t="s">
        <v>5</v>
      </c>
      <c r="D16" s="904">
        <v>0.1</v>
      </c>
      <c r="E16" s="215">
        <f t="shared" si="0"/>
        <v>2.58</v>
      </c>
      <c r="F16" s="222">
        <f t="shared" si="1"/>
        <v>5368094.6811602255</v>
      </c>
      <c r="G16" s="217">
        <f t="shared" si="3"/>
        <v>1</v>
      </c>
      <c r="H16" s="217">
        <f t="shared" si="4"/>
        <v>5368094.6811602255</v>
      </c>
      <c r="I16" s="217">
        <f t="shared" si="5"/>
        <v>536809.4681160225</v>
      </c>
      <c r="J16" s="218">
        <f t="shared" si="6"/>
        <v>1248394.111897727</v>
      </c>
      <c r="K16" s="219">
        <f>+'INFORMACION DEL FP'!$D$23</f>
        <v>1.6124599666666666</v>
      </c>
      <c r="L16" s="219">
        <f t="shared" si="7"/>
        <v>80</v>
      </c>
      <c r="M16" s="220">
        <f>+IF(L16=84,'INFORMACION DEL FP'!$D$27,'INFORMACION DEL FP'!$D$25)+IF($D$8=1,0,'INFORMACION DEL FP'!$D$26)</f>
        <v>0.2</v>
      </c>
      <c r="N16" s="221">
        <f t="shared" si="8"/>
        <v>1.8124599666666665</v>
      </c>
      <c r="O16" s="222">
        <f t="shared" si="9"/>
        <v>5837674.024127505</v>
      </c>
      <c r="Q16" s="224">
        <f t="shared" si="2"/>
        <v>18</v>
      </c>
      <c r="R16" s="213"/>
    </row>
    <row r="17" spans="1:18" ht="15" hidden="1" outlineLevel="2">
      <c r="A17" s="913" t="s">
        <v>226</v>
      </c>
      <c r="B17" s="914">
        <v>0</v>
      </c>
      <c r="C17" s="915" t="s">
        <v>4</v>
      </c>
      <c r="D17" s="904">
        <v>0</v>
      </c>
      <c r="E17" s="215">
        <f t="shared" si="0"/>
        <v>0</v>
      </c>
      <c r="F17" s="222">
        <f t="shared" si="1"/>
        <v>6302510.345415276</v>
      </c>
      <c r="G17" s="217">
        <f t="shared" si="3"/>
        <v>1</v>
      </c>
      <c r="H17" s="217">
        <f t="shared" si="4"/>
        <v>6302510.345415276</v>
      </c>
      <c r="I17" s="217">
        <f t="shared" si="5"/>
        <v>0</v>
      </c>
      <c r="J17" s="218">
        <f t="shared" si="6"/>
        <v>1465700.080329134</v>
      </c>
      <c r="K17" s="219">
        <f>+'INFORMACION DEL FP'!$D$23</f>
        <v>1.6124599666666666</v>
      </c>
      <c r="L17" s="219">
        <f t="shared" si="7"/>
        <v>80</v>
      </c>
      <c r="M17" s="220">
        <f>+IF(L17=84,'INFORMACION DEL FP'!$D$27,'INFORMACION DEL FP'!$D$25)+IF($D$8=1,0,'INFORMACION DEL FP'!$D$26)</f>
        <v>0.2</v>
      </c>
      <c r="N17" s="221">
        <f t="shared" si="8"/>
        <v>1.8124599666666665</v>
      </c>
      <c r="O17" s="222">
        <f t="shared" si="9"/>
        <v>0</v>
      </c>
      <c r="Q17" s="224">
        <f t="shared" si="2"/>
        <v>0</v>
      </c>
      <c r="R17" s="213"/>
    </row>
    <row r="18" spans="1:18" ht="15" hidden="1" outlineLevel="2">
      <c r="A18" s="913" t="s">
        <v>800</v>
      </c>
      <c r="B18" s="914">
        <v>0</v>
      </c>
      <c r="C18" s="915" t="s">
        <v>5</v>
      </c>
      <c r="D18" s="904">
        <v>0</v>
      </c>
      <c r="E18" s="215">
        <f t="shared" si="0"/>
        <v>0</v>
      </c>
      <c r="F18" s="222">
        <f t="shared" si="1"/>
        <v>5368094.6811602255</v>
      </c>
      <c r="G18" s="217">
        <f t="shared" si="3"/>
        <v>1</v>
      </c>
      <c r="H18" s="217">
        <f t="shared" si="4"/>
        <v>5368094.6811602255</v>
      </c>
      <c r="I18" s="217">
        <f t="shared" si="5"/>
        <v>0</v>
      </c>
      <c r="J18" s="218">
        <f t="shared" si="6"/>
        <v>1248394.111897727</v>
      </c>
      <c r="K18" s="219">
        <f>+'INFORMACION DEL FP'!$D$23</f>
        <v>1.6124599666666666</v>
      </c>
      <c r="L18" s="219">
        <f t="shared" si="7"/>
        <v>80</v>
      </c>
      <c r="M18" s="220">
        <f>+IF(L18=84,'INFORMACION DEL FP'!$D$27,'INFORMACION DEL FP'!$D$25)+IF($D$8=1,0,'INFORMACION DEL FP'!$D$26)</f>
        <v>0.2</v>
      </c>
      <c r="N18" s="221">
        <f t="shared" si="8"/>
        <v>1.8124599666666665</v>
      </c>
      <c r="O18" s="222">
        <f>E18*J18*N18*B18</f>
        <v>0</v>
      </c>
      <c r="Q18" s="224">
        <f t="shared" si="2"/>
        <v>0</v>
      </c>
      <c r="R18" s="213"/>
    </row>
    <row r="19" spans="1:18" ht="15" outlineLevel="3">
      <c r="A19" s="913" t="s">
        <v>230</v>
      </c>
      <c r="B19" s="914">
        <v>1</v>
      </c>
      <c r="C19" s="915" t="s">
        <v>6</v>
      </c>
      <c r="D19" s="904">
        <v>0.1</v>
      </c>
      <c r="E19" s="215">
        <f t="shared" si="0"/>
        <v>2.58</v>
      </c>
      <c r="F19" s="222">
        <f t="shared" si="1"/>
        <v>4841972.078412518</v>
      </c>
      <c r="G19" s="217">
        <f t="shared" si="3"/>
        <v>1</v>
      </c>
      <c r="H19" s="217">
        <f t="shared" si="4"/>
        <v>4841972.078412518</v>
      </c>
      <c r="I19" s="217">
        <f t="shared" si="5"/>
        <v>484197.2078412518</v>
      </c>
      <c r="J19" s="218">
        <f t="shared" si="6"/>
        <v>1126040.0182354692</v>
      </c>
      <c r="K19" s="219">
        <f>+'INFORMACION DEL FP'!$D$23</f>
        <v>1.6124599666666666</v>
      </c>
      <c r="L19" s="219">
        <f t="shared" si="7"/>
        <v>80</v>
      </c>
      <c r="M19" s="220">
        <f>+IF(L19=84,'INFORMACION DEL FP'!$D$27,'INFORMACION DEL FP'!$D$25)+IF($D$8=1,0,'INFORMACION DEL FP'!$D$26)</f>
        <v>0.2</v>
      </c>
      <c r="N19" s="221">
        <f t="shared" si="8"/>
        <v>1.8124599666666665</v>
      </c>
      <c r="O19" s="222">
        <f t="shared" si="9"/>
        <v>5265528.33110429</v>
      </c>
      <c r="Q19" s="224">
        <f t="shared" si="2"/>
        <v>18</v>
      </c>
      <c r="R19" s="213"/>
    </row>
    <row r="20" spans="1:18" ht="15" hidden="1" outlineLevel="3">
      <c r="A20" s="913" t="s">
        <v>788</v>
      </c>
      <c r="B20" s="914">
        <v>0</v>
      </c>
      <c r="C20" s="915" t="s">
        <v>6</v>
      </c>
      <c r="D20" s="904">
        <v>0</v>
      </c>
      <c r="E20" s="215">
        <f t="shared" si="0"/>
        <v>0</v>
      </c>
      <c r="F20" s="222">
        <f t="shared" si="1"/>
        <v>4841972.078412518</v>
      </c>
      <c r="G20" s="217">
        <f t="shared" si="3"/>
        <v>1</v>
      </c>
      <c r="H20" s="217">
        <f t="shared" si="4"/>
        <v>4841972.078412518</v>
      </c>
      <c r="I20" s="217">
        <f t="shared" si="5"/>
        <v>0</v>
      </c>
      <c r="J20" s="218">
        <f t="shared" si="6"/>
        <v>1126040.0182354692</v>
      </c>
      <c r="K20" s="219">
        <f>+'INFORMACION DEL FP'!$D$23</f>
        <v>1.6124599666666666</v>
      </c>
      <c r="L20" s="219">
        <f t="shared" si="7"/>
        <v>80</v>
      </c>
      <c r="M20" s="220">
        <f>+IF(L20=84,'INFORMACION DEL FP'!$D$27,'INFORMACION DEL FP'!$D$25)+IF($D$8=1,0,'INFORMACION DEL FP'!$D$26)</f>
        <v>0.2</v>
      </c>
      <c r="N20" s="221">
        <f t="shared" si="8"/>
        <v>1.8124599666666665</v>
      </c>
      <c r="O20" s="222">
        <f t="shared" si="9"/>
        <v>0</v>
      </c>
      <c r="Q20" s="224">
        <f t="shared" si="2"/>
        <v>0</v>
      </c>
      <c r="R20" s="213"/>
    </row>
    <row r="21" spans="1:18" ht="15" hidden="1" outlineLevel="3">
      <c r="A21" s="913" t="s">
        <v>658</v>
      </c>
      <c r="B21" s="914">
        <v>0</v>
      </c>
      <c r="C21" s="915" t="s">
        <v>6</v>
      </c>
      <c r="D21" s="904">
        <v>0</v>
      </c>
      <c r="E21" s="215">
        <f t="shared" si="0"/>
        <v>0</v>
      </c>
      <c r="F21" s="222">
        <f t="shared" si="1"/>
        <v>4841972.078412518</v>
      </c>
      <c r="G21" s="217">
        <f t="shared" si="3"/>
        <v>1</v>
      </c>
      <c r="H21" s="217">
        <f t="shared" si="4"/>
        <v>4841972.078412518</v>
      </c>
      <c r="I21" s="217">
        <f t="shared" si="5"/>
        <v>0</v>
      </c>
      <c r="J21" s="218">
        <f t="shared" si="6"/>
        <v>1126040.0182354692</v>
      </c>
      <c r="K21" s="219">
        <f>+'INFORMACION DEL FP'!$D$23</f>
        <v>1.6124599666666666</v>
      </c>
      <c r="L21" s="219">
        <f t="shared" si="7"/>
        <v>80</v>
      </c>
      <c r="M21" s="220">
        <f>+IF(L21=84,'INFORMACION DEL FP'!$D$27,'INFORMACION DEL FP'!$D$25)+IF($D$8=1,0,'INFORMACION DEL FP'!$D$26)</f>
        <v>0.2</v>
      </c>
      <c r="N21" s="221">
        <f t="shared" si="8"/>
        <v>1.8124599666666665</v>
      </c>
      <c r="O21" s="222">
        <f t="shared" si="9"/>
        <v>0</v>
      </c>
      <c r="Q21" s="224">
        <f t="shared" si="2"/>
        <v>0</v>
      </c>
      <c r="R21" s="213"/>
    </row>
    <row r="22" spans="1:18" ht="15" hidden="1" outlineLevel="3">
      <c r="A22" s="913" t="s">
        <v>225</v>
      </c>
      <c r="B22" s="914">
        <v>0</v>
      </c>
      <c r="C22" s="915" t="s">
        <v>6</v>
      </c>
      <c r="D22" s="904">
        <v>0</v>
      </c>
      <c r="E22" s="215">
        <f t="shared" si="0"/>
        <v>0</v>
      </c>
      <c r="F22" s="222">
        <f t="shared" si="1"/>
        <v>4841972.078412518</v>
      </c>
      <c r="G22" s="217">
        <f t="shared" si="3"/>
        <v>1</v>
      </c>
      <c r="H22" s="217">
        <f t="shared" si="4"/>
        <v>4841972.078412518</v>
      </c>
      <c r="I22" s="217">
        <f t="shared" si="5"/>
        <v>0</v>
      </c>
      <c r="J22" s="218">
        <f t="shared" si="6"/>
        <v>1126040.0182354692</v>
      </c>
      <c r="K22" s="219">
        <f>+'INFORMACION DEL FP'!$D$23</f>
        <v>1.6124599666666666</v>
      </c>
      <c r="L22" s="219">
        <f t="shared" si="7"/>
        <v>80</v>
      </c>
      <c r="M22" s="220">
        <f>+IF(L22=84,'INFORMACION DEL FP'!$D$27,'INFORMACION DEL FP'!$D$25)+IF($D$8=1,0,'INFORMACION DEL FP'!$D$26)</f>
        <v>0.2</v>
      </c>
      <c r="N22" s="221">
        <f t="shared" si="8"/>
        <v>1.8124599666666665</v>
      </c>
      <c r="O22" s="222">
        <f t="shared" si="9"/>
        <v>0</v>
      </c>
      <c r="Q22" s="224">
        <f t="shared" si="2"/>
        <v>0</v>
      </c>
      <c r="R22" s="213"/>
    </row>
    <row r="23" spans="1:18" ht="15" customHeight="1" hidden="1" outlineLevel="3">
      <c r="A23" s="913" t="s">
        <v>231</v>
      </c>
      <c r="B23" s="914">
        <v>0</v>
      </c>
      <c r="C23" s="915" t="s">
        <v>3</v>
      </c>
      <c r="D23" s="904">
        <v>0</v>
      </c>
      <c r="E23" s="215">
        <f t="shared" si="0"/>
        <v>0</v>
      </c>
      <c r="F23" s="216">
        <f t="shared" si="1"/>
        <v>7469844.870261756</v>
      </c>
      <c r="G23" s="217">
        <f t="shared" si="3"/>
        <v>1</v>
      </c>
      <c r="H23" s="217">
        <f t="shared" si="4"/>
        <v>7469844.870261756</v>
      </c>
      <c r="I23" s="217">
        <f t="shared" si="5"/>
        <v>0</v>
      </c>
      <c r="J23" s="218">
        <f t="shared" si="6"/>
        <v>1737173.2256422688</v>
      </c>
      <c r="K23" s="219">
        <f>+'INFORMACION DEL FP'!$D$23</f>
        <v>1.6124599666666666</v>
      </c>
      <c r="L23" s="219">
        <f t="shared" si="7"/>
        <v>80</v>
      </c>
      <c r="M23" s="220">
        <f>+IF(L23=84,'INFORMACION DEL FP'!$D$27,'INFORMACION DEL FP'!$D$25)+IF($D$8=1,0,'INFORMACION DEL FP'!$D$26)</f>
        <v>0.2</v>
      </c>
      <c r="N23" s="221">
        <f t="shared" si="8"/>
        <v>1.8124599666666665</v>
      </c>
      <c r="O23" s="222">
        <f t="shared" si="9"/>
        <v>0</v>
      </c>
      <c r="Q23" s="224">
        <f t="shared" si="2"/>
        <v>0</v>
      </c>
      <c r="R23" s="213"/>
    </row>
    <row r="24" spans="1:18" ht="15" customHeight="1" hidden="1" outlineLevel="3">
      <c r="A24" s="913" t="s">
        <v>275</v>
      </c>
      <c r="B24" s="914">
        <v>0</v>
      </c>
      <c r="C24" s="915" t="s">
        <v>5</v>
      </c>
      <c r="D24" s="904">
        <v>0</v>
      </c>
      <c r="E24" s="215">
        <f t="shared" si="0"/>
        <v>0</v>
      </c>
      <c r="F24" s="216">
        <f t="shared" si="1"/>
        <v>5368094.6811602255</v>
      </c>
      <c r="G24" s="217">
        <f t="shared" si="3"/>
        <v>1</v>
      </c>
      <c r="H24" s="217">
        <f t="shared" si="4"/>
        <v>5368094.6811602255</v>
      </c>
      <c r="I24" s="217">
        <f t="shared" si="5"/>
        <v>0</v>
      </c>
      <c r="J24" s="218">
        <f t="shared" si="6"/>
        <v>1248394.111897727</v>
      </c>
      <c r="K24" s="219">
        <f>+'INFORMACION DEL FP'!$D$23</f>
        <v>1.6124599666666666</v>
      </c>
      <c r="L24" s="219">
        <f t="shared" si="7"/>
        <v>80</v>
      </c>
      <c r="M24" s="220">
        <f>+IF(L24=84,'INFORMACION DEL FP'!$D$27,'INFORMACION DEL FP'!$D$25)+IF($D$8=1,0,'INFORMACION DEL FP'!$D$26)</f>
        <v>0.2</v>
      </c>
      <c r="N24" s="221">
        <f t="shared" si="8"/>
        <v>1.8124599666666665</v>
      </c>
      <c r="O24" s="222">
        <f t="shared" si="9"/>
        <v>0</v>
      </c>
      <c r="Q24" s="224">
        <f t="shared" si="2"/>
        <v>0</v>
      </c>
      <c r="R24" s="213"/>
    </row>
    <row r="25" spans="1:18" ht="15" customHeight="1" hidden="1" outlineLevel="3">
      <c r="A25" s="913" t="s">
        <v>233</v>
      </c>
      <c r="B25" s="914">
        <v>0</v>
      </c>
      <c r="C25" s="915" t="s">
        <v>4</v>
      </c>
      <c r="D25" s="904">
        <v>0</v>
      </c>
      <c r="E25" s="215">
        <f t="shared" si="0"/>
        <v>0</v>
      </c>
      <c r="F25" s="216">
        <f t="shared" si="1"/>
        <v>6302510.345415276</v>
      </c>
      <c r="G25" s="217">
        <f t="shared" si="3"/>
        <v>1</v>
      </c>
      <c r="H25" s="217">
        <f t="shared" si="4"/>
        <v>6302510.345415276</v>
      </c>
      <c r="I25" s="217">
        <f t="shared" si="5"/>
        <v>0</v>
      </c>
      <c r="J25" s="218">
        <f t="shared" si="6"/>
        <v>1465700.080329134</v>
      </c>
      <c r="K25" s="219">
        <f>+'INFORMACION DEL FP'!$D$23</f>
        <v>1.6124599666666666</v>
      </c>
      <c r="L25" s="219">
        <f t="shared" si="7"/>
        <v>80</v>
      </c>
      <c r="M25" s="220">
        <f>+IF(L25=84,'INFORMACION DEL FP'!$D$27,'INFORMACION DEL FP'!$D$25)+IF($D$8=1,0,'INFORMACION DEL FP'!$D$26)</f>
        <v>0.2</v>
      </c>
      <c r="N25" s="221">
        <f t="shared" si="8"/>
        <v>1.8124599666666665</v>
      </c>
      <c r="O25" s="222">
        <f t="shared" si="9"/>
        <v>0</v>
      </c>
      <c r="Q25" s="224">
        <f t="shared" si="2"/>
        <v>0</v>
      </c>
      <c r="R25" s="213"/>
    </row>
    <row r="26" spans="1:18" ht="15" customHeight="1" hidden="1" outlineLevel="3">
      <c r="A26" s="307" t="s">
        <v>797</v>
      </c>
      <c r="B26" s="308">
        <v>0</v>
      </c>
      <c r="C26" s="309" t="s">
        <v>5</v>
      </c>
      <c r="D26" s="310">
        <v>0</v>
      </c>
      <c r="E26" s="215">
        <f t="shared" si="0"/>
        <v>0</v>
      </c>
      <c r="F26" s="216">
        <f t="shared" si="1"/>
        <v>5368094.6811602255</v>
      </c>
      <c r="G26" s="217">
        <f t="shared" si="3"/>
        <v>1</v>
      </c>
      <c r="H26" s="217">
        <f t="shared" si="4"/>
        <v>5368094.6811602255</v>
      </c>
      <c r="I26" s="217">
        <f t="shared" si="5"/>
        <v>0</v>
      </c>
      <c r="J26" s="218">
        <f t="shared" si="6"/>
        <v>1248394.111897727</v>
      </c>
      <c r="K26" s="219">
        <f>+'INFORMACION DEL FP'!$D$23</f>
        <v>1.6124599666666666</v>
      </c>
      <c r="L26" s="219">
        <f t="shared" si="7"/>
        <v>80</v>
      </c>
      <c r="M26" s="220">
        <f>+IF(L26=84,'INFORMACION DEL FP'!$D$27,'INFORMACION DEL FP'!$D$25)+IF($D$8=1,0,'INFORMACION DEL FP'!$D$26)</f>
        <v>0.2</v>
      </c>
      <c r="N26" s="221">
        <f t="shared" si="8"/>
        <v>1.8124599666666665</v>
      </c>
      <c r="O26" s="222">
        <f t="shared" si="9"/>
        <v>0</v>
      </c>
      <c r="Q26" s="224">
        <f t="shared" si="2"/>
        <v>0</v>
      </c>
      <c r="R26" s="213"/>
    </row>
    <row r="27" spans="1:18" ht="15" hidden="1" outlineLevel="3">
      <c r="A27" s="913" t="s">
        <v>788</v>
      </c>
      <c r="B27" s="914">
        <v>0</v>
      </c>
      <c r="C27" s="915" t="s">
        <v>5</v>
      </c>
      <c r="D27" s="904">
        <v>0</v>
      </c>
      <c r="E27" s="215">
        <f t="shared" si="0"/>
        <v>0</v>
      </c>
      <c r="F27" s="216">
        <f t="shared" si="1"/>
        <v>5368094.6811602255</v>
      </c>
      <c r="G27" s="217">
        <f t="shared" si="3"/>
        <v>1</v>
      </c>
      <c r="H27" s="217">
        <f t="shared" si="4"/>
        <v>5368094.6811602255</v>
      </c>
      <c r="I27" s="217">
        <f t="shared" si="5"/>
        <v>0</v>
      </c>
      <c r="J27" s="218">
        <f t="shared" si="6"/>
        <v>1248394.111897727</v>
      </c>
      <c r="K27" s="219">
        <f>+'INFORMACION DEL FP'!$D$23</f>
        <v>1.6124599666666666</v>
      </c>
      <c r="L27" s="219">
        <f t="shared" si="7"/>
        <v>80</v>
      </c>
      <c r="M27" s="220">
        <f>+IF(L27=84,'INFORMACION DEL FP'!$D$27,'INFORMACION DEL FP'!$D$25)+IF($D$8=1,0,'INFORMACION DEL FP'!$D$26)</f>
        <v>0.2</v>
      </c>
      <c r="N27" s="221">
        <f t="shared" si="8"/>
        <v>1.8124599666666665</v>
      </c>
      <c r="O27" s="222">
        <f t="shared" si="9"/>
        <v>0</v>
      </c>
      <c r="Q27" s="224">
        <f t="shared" si="2"/>
        <v>0</v>
      </c>
      <c r="R27" s="213"/>
    </row>
    <row r="28" spans="1:18" ht="15" customHeight="1" hidden="1" outlineLevel="3">
      <c r="A28" s="307" t="s">
        <v>626</v>
      </c>
      <c r="B28" s="914">
        <v>0</v>
      </c>
      <c r="C28" s="309" t="s">
        <v>5</v>
      </c>
      <c r="D28" s="310">
        <v>0</v>
      </c>
      <c r="E28" s="215">
        <f t="shared" si="0"/>
        <v>0</v>
      </c>
      <c r="F28" s="216">
        <f t="shared" si="1"/>
        <v>5368094.6811602255</v>
      </c>
      <c r="G28" s="217">
        <f t="shared" si="3"/>
        <v>1</v>
      </c>
      <c r="H28" s="217">
        <f t="shared" si="4"/>
        <v>5368094.6811602255</v>
      </c>
      <c r="I28" s="217">
        <f t="shared" si="5"/>
        <v>0</v>
      </c>
      <c r="J28" s="218">
        <f t="shared" si="6"/>
        <v>1248394.111897727</v>
      </c>
      <c r="K28" s="219">
        <f>+'INFORMACION DEL FP'!$D$23</f>
        <v>1.6124599666666666</v>
      </c>
      <c r="L28" s="219">
        <f t="shared" si="7"/>
        <v>80</v>
      </c>
      <c r="M28" s="220">
        <f>+IF(L28=84,'INFORMACION DEL FP'!$D$27,'INFORMACION DEL FP'!$D$25)+IF($D$8=1,0,'INFORMACION DEL FP'!$D$26)</f>
        <v>0.2</v>
      </c>
      <c r="N28" s="221">
        <f t="shared" si="8"/>
        <v>1.8124599666666665</v>
      </c>
      <c r="O28" s="222">
        <f t="shared" si="9"/>
        <v>0</v>
      </c>
      <c r="Q28" s="224">
        <f t="shared" si="2"/>
        <v>0</v>
      </c>
      <c r="R28" s="213"/>
    </row>
    <row r="29" spans="1:18" ht="15" customHeight="1" hidden="1" outlineLevel="3">
      <c r="A29" s="307" t="s">
        <v>225</v>
      </c>
      <c r="B29" s="914">
        <v>0</v>
      </c>
      <c r="C29" s="309" t="s">
        <v>5</v>
      </c>
      <c r="D29" s="310">
        <v>0</v>
      </c>
      <c r="E29" s="215">
        <f t="shared" si="0"/>
        <v>0</v>
      </c>
      <c r="F29" s="216">
        <f t="shared" si="1"/>
        <v>5368094.6811602255</v>
      </c>
      <c r="G29" s="217">
        <f t="shared" si="3"/>
        <v>1</v>
      </c>
      <c r="H29" s="217">
        <f t="shared" si="4"/>
        <v>5368094.6811602255</v>
      </c>
      <c r="I29" s="217">
        <f t="shared" si="5"/>
        <v>0</v>
      </c>
      <c r="J29" s="218">
        <f t="shared" si="6"/>
        <v>1248394.111897727</v>
      </c>
      <c r="K29" s="219">
        <f>+'INFORMACION DEL FP'!$D$23</f>
        <v>1.6124599666666666</v>
      </c>
      <c r="L29" s="219">
        <f t="shared" si="7"/>
        <v>80</v>
      </c>
      <c r="M29" s="220">
        <f>+IF(L29=84,'INFORMACION DEL FP'!$D$27,'INFORMACION DEL FP'!$D$25)+IF($D$8=1,0,'INFORMACION DEL FP'!$D$26)</f>
        <v>0.2</v>
      </c>
      <c r="N29" s="221">
        <f t="shared" si="8"/>
        <v>1.8124599666666665</v>
      </c>
      <c r="O29" s="222">
        <f t="shared" si="9"/>
        <v>0</v>
      </c>
      <c r="Q29" s="224">
        <f t="shared" si="2"/>
        <v>0</v>
      </c>
      <c r="R29" s="225"/>
    </row>
    <row r="30" spans="1:18" ht="15" customHeight="1" hidden="1" outlineLevel="3">
      <c r="A30" s="307" t="s">
        <v>658</v>
      </c>
      <c r="B30" s="914">
        <v>0</v>
      </c>
      <c r="C30" s="309" t="s">
        <v>7</v>
      </c>
      <c r="D30" s="310">
        <v>0</v>
      </c>
      <c r="E30" s="215">
        <f t="shared" si="0"/>
        <v>0</v>
      </c>
      <c r="F30" s="216">
        <f t="shared" si="1"/>
        <v>4318589.697554118</v>
      </c>
      <c r="G30" s="217">
        <f t="shared" si="3"/>
        <v>1</v>
      </c>
      <c r="H30" s="217">
        <f t="shared" si="4"/>
        <v>4318589.697554118</v>
      </c>
      <c r="I30" s="217">
        <f t="shared" si="5"/>
        <v>0</v>
      </c>
      <c r="J30" s="218">
        <f t="shared" si="6"/>
        <v>1004323.185477702</v>
      </c>
      <c r="K30" s="219">
        <f>+'INFORMACION DEL FP'!$D$23</f>
        <v>1.6124599666666666</v>
      </c>
      <c r="L30" s="219">
        <f t="shared" si="7"/>
        <v>80</v>
      </c>
      <c r="M30" s="220">
        <f>+IF(L30=84,'INFORMACION DEL FP'!$D$27,'INFORMACION DEL FP'!$D$25)+IF($D$8=1,0,'INFORMACION DEL FP'!$D$26)</f>
        <v>0.2</v>
      </c>
      <c r="N30" s="221">
        <f t="shared" si="8"/>
        <v>1.8124599666666665</v>
      </c>
      <c r="O30" s="222">
        <f t="shared" si="9"/>
        <v>0</v>
      </c>
      <c r="Q30" s="224">
        <f t="shared" si="2"/>
        <v>0</v>
      </c>
      <c r="R30" s="225"/>
    </row>
    <row r="31" spans="1:18" ht="15" customHeight="1" hidden="1" outlineLevel="3">
      <c r="A31" s="307" t="s">
        <v>234</v>
      </c>
      <c r="B31" s="914">
        <v>0</v>
      </c>
      <c r="C31" s="309" t="s">
        <v>7</v>
      </c>
      <c r="D31" s="310">
        <v>0</v>
      </c>
      <c r="E31" s="215">
        <f t="shared" si="0"/>
        <v>0</v>
      </c>
      <c r="F31" s="216">
        <f t="shared" si="1"/>
        <v>4318589.697554118</v>
      </c>
      <c r="G31" s="217">
        <f t="shared" si="3"/>
        <v>1</v>
      </c>
      <c r="H31" s="217">
        <f t="shared" si="4"/>
        <v>4318589.697554118</v>
      </c>
      <c r="I31" s="217">
        <f t="shared" si="5"/>
        <v>0</v>
      </c>
      <c r="J31" s="218">
        <f t="shared" si="6"/>
        <v>1004323.185477702</v>
      </c>
      <c r="K31" s="219">
        <f>+'INFORMACION DEL FP'!$D$23</f>
        <v>1.6124599666666666</v>
      </c>
      <c r="L31" s="219">
        <f t="shared" si="7"/>
        <v>80</v>
      </c>
      <c r="M31" s="220">
        <f>+IF(L31=84,'INFORMACION DEL FP'!$D$27,'INFORMACION DEL FP'!$D$25)+IF($D$8=1,0,'INFORMACION DEL FP'!$D$26)</f>
        <v>0.2</v>
      </c>
      <c r="N31" s="221">
        <f t="shared" si="8"/>
        <v>1.8124599666666665</v>
      </c>
      <c r="O31" s="222">
        <f t="shared" si="9"/>
        <v>0</v>
      </c>
      <c r="Q31" s="224">
        <f t="shared" si="2"/>
        <v>0</v>
      </c>
      <c r="R31" s="213"/>
    </row>
    <row r="32" spans="1:18" ht="15" customHeight="1" hidden="1" outlineLevel="3">
      <c r="A32" s="307" t="s">
        <v>611</v>
      </c>
      <c r="B32" s="914">
        <v>0</v>
      </c>
      <c r="C32" s="309" t="s">
        <v>9</v>
      </c>
      <c r="D32" s="310">
        <v>0</v>
      </c>
      <c r="E32" s="215">
        <f t="shared" si="0"/>
        <v>0</v>
      </c>
      <c r="F32" s="216">
        <f t="shared" si="1"/>
        <v>3080009.4035855527</v>
      </c>
      <c r="G32" s="217">
        <f t="shared" si="3"/>
        <v>1</v>
      </c>
      <c r="H32" s="217">
        <f t="shared" si="4"/>
        <v>3080009.4035855527</v>
      </c>
      <c r="I32" s="217">
        <f t="shared" si="5"/>
        <v>0</v>
      </c>
      <c r="J32" s="218">
        <f t="shared" si="6"/>
        <v>716281.256647803</v>
      </c>
      <c r="K32" s="219">
        <f>+'INFORMACION DEL FP'!$D$23</f>
        <v>1.6124599666666666</v>
      </c>
      <c r="L32" s="219">
        <f t="shared" si="7"/>
        <v>80</v>
      </c>
      <c r="M32" s="220">
        <f>+IF(L32=84,'INFORMACION DEL FP'!$D$27,'INFORMACION DEL FP'!$D$25)+IF($D$8=1,0,'INFORMACION DEL FP'!$D$26)</f>
        <v>0.2</v>
      </c>
      <c r="N32" s="221">
        <f t="shared" si="8"/>
        <v>1.8124599666666665</v>
      </c>
      <c r="O32" s="222">
        <f t="shared" si="9"/>
        <v>0</v>
      </c>
      <c r="Q32" s="224">
        <f t="shared" si="2"/>
        <v>0</v>
      </c>
      <c r="R32" s="213"/>
    </row>
    <row r="33" spans="1:18" ht="15" customHeight="1" collapsed="1">
      <c r="A33" s="226"/>
      <c r="B33" s="227"/>
      <c r="C33" s="228"/>
      <c r="D33" s="229"/>
      <c r="E33" s="227"/>
      <c r="F33" s="230"/>
      <c r="G33" s="230"/>
      <c r="H33" s="230"/>
      <c r="I33" s="230">
        <f>SUM(I14:I32)</f>
        <v>8817485.9954249</v>
      </c>
      <c r="J33" s="227"/>
      <c r="K33" s="231"/>
      <c r="L33" s="231"/>
      <c r="M33" s="226"/>
      <c r="N33" s="231"/>
      <c r="O33" s="227"/>
      <c r="Q33" s="232"/>
      <c r="R33" s="213"/>
    </row>
    <row r="34" spans="1:248" s="185" customFormat="1" ht="15" customHeight="1">
      <c r="A34" s="319" t="s">
        <v>725</v>
      </c>
      <c r="B34" s="313"/>
      <c r="C34" s="313">
        <f>SUM(CdadTecnico)</f>
        <v>3</v>
      </c>
      <c r="D34" s="313"/>
      <c r="E34" s="313"/>
      <c r="F34" s="313"/>
      <c r="G34" s="313"/>
      <c r="H34" s="313"/>
      <c r="I34" s="314"/>
      <c r="J34" s="314"/>
      <c r="K34" s="314"/>
      <c r="L34" s="314"/>
      <c r="M34" s="313"/>
      <c r="N34" s="313"/>
      <c r="O34" s="313">
        <f>Tecnico</f>
        <v>20747731.185802832</v>
      </c>
      <c r="P34" s="185">
        <f>SUM(TotalTec)</f>
        <v>20747731.185802832</v>
      </c>
      <c r="Q34" s="214"/>
      <c r="R34" s="213"/>
      <c r="IN34" s="182"/>
    </row>
    <row r="35" spans="1:18" ht="15" customHeight="1">
      <c r="A35" s="315" t="s">
        <v>11</v>
      </c>
      <c r="B35" s="914">
        <v>1</v>
      </c>
      <c r="C35" s="316" t="s">
        <v>71</v>
      </c>
      <c r="D35" s="317">
        <v>0.15</v>
      </c>
      <c r="E35" s="215">
        <f aca="true" t="shared" si="10" ref="E35:E44">DuracionSemanas*D35</f>
        <v>3.869999999999999</v>
      </c>
      <c r="F35" s="216">
        <f aca="true" t="shared" si="11" ref="F35:F44">VLOOKUP(C35,TarifaMT,21,0)</f>
        <v>1534524.2580141542</v>
      </c>
      <c r="G35" s="217">
        <f aca="true" t="shared" si="12" ref="G35:G44">+IF($D$8=1,1,IF($D$8=2,1,IF($D$8=3,1,IF($D$8=4,1,IF($D$8=5,1,"ERROR")))))</f>
        <v>1</v>
      </c>
      <c r="H35" s="217">
        <f>IF((F35*G35)&lt;358000,358000,(F35*G35))</f>
        <v>1534524.2580141542</v>
      </c>
      <c r="I35" s="217">
        <f aca="true" t="shared" si="13" ref="I35:I44">B35*D35*H35</f>
        <v>230178.6387021231</v>
      </c>
      <c r="J35" s="218">
        <f aca="true" t="shared" si="14" ref="J35:J44">+H35/4.3</f>
        <v>356866.1065149196</v>
      </c>
      <c r="K35" s="219">
        <f>+'INFORMACION DEL FP'!$D$23</f>
        <v>1.6124599666666666</v>
      </c>
      <c r="L35" s="219">
        <f aca="true" t="shared" si="15" ref="L35:L44">CODE(C35)</f>
        <v>84</v>
      </c>
      <c r="M35" s="220">
        <f>+IF(L35=84,'INFORMACION DEL FP'!$D$27,'INFORMACION DEL FP'!$D$25)+IF($D$8=1,0,'INFORMACION DEL FP'!$D$26)</f>
        <v>0.2</v>
      </c>
      <c r="N35" s="221">
        <f aca="true" t="shared" si="16" ref="N35:N44">+K35+M35</f>
        <v>1.8124599666666665</v>
      </c>
      <c r="O35" s="222">
        <f>E35*J35*N35*B35</f>
        <v>2503137.4069765722</v>
      </c>
      <c r="Q35" s="224">
        <f aca="true" t="shared" si="17" ref="Q35:Q44">+DuracionMeses*30*D35/100%</f>
        <v>27</v>
      </c>
      <c r="R35" s="213"/>
    </row>
    <row r="36" spans="1:18" ht="15" customHeight="1">
      <c r="A36" s="315" t="s">
        <v>86</v>
      </c>
      <c r="B36" s="914">
        <v>1</v>
      </c>
      <c r="C36" s="316" t="s">
        <v>74</v>
      </c>
      <c r="D36" s="317">
        <v>0.15</v>
      </c>
      <c r="E36" s="215">
        <f t="shared" si="10"/>
        <v>3.869999999999999</v>
      </c>
      <c r="F36" s="216">
        <f t="shared" si="11"/>
        <v>1137192.0840640604</v>
      </c>
      <c r="G36" s="217">
        <f t="shared" si="12"/>
        <v>1</v>
      </c>
      <c r="H36" s="217">
        <f aca="true" t="shared" si="18" ref="H36:H44">IF((F36*G36)&lt;358000,358000,(F36*G36))</f>
        <v>1137192.0840640604</v>
      </c>
      <c r="I36" s="217">
        <f t="shared" si="13"/>
        <v>170578.81260960904</v>
      </c>
      <c r="J36" s="218">
        <f t="shared" si="14"/>
        <v>264463.275363735</v>
      </c>
      <c r="K36" s="219">
        <f>+'INFORMACION DEL FP'!$D$23</f>
        <v>1.6124599666666666</v>
      </c>
      <c r="L36" s="219">
        <f t="shared" si="15"/>
        <v>84</v>
      </c>
      <c r="M36" s="220">
        <f>+IF(L36=84,'INFORMACION DEL FP'!$D$27,'INFORMACION DEL FP'!$D$25)+IF($D$8=1,0,'INFORMACION DEL FP'!$D$26)</f>
        <v>0.2</v>
      </c>
      <c r="N36" s="221">
        <f t="shared" si="16"/>
        <v>1.8124599666666665</v>
      </c>
      <c r="O36" s="222">
        <f aca="true" t="shared" si="19" ref="O36:O44">E36*J36*N36*B36</f>
        <v>1855003.614098709</v>
      </c>
      <c r="Q36" s="224">
        <f t="shared" si="17"/>
        <v>27</v>
      </c>
      <c r="R36" s="213"/>
    </row>
    <row r="37" spans="1:18" ht="15" customHeight="1">
      <c r="A37" s="315" t="s">
        <v>84</v>
      </c>
      <c r="B37" s="914">
        <v>1</v>
      </c>
      <c r="C37" s="316" t="s">
        <v>72</v>
      </c>
      <c r="D37" s="317">
        <v>1</v>
      </c>
      <c r="E37" s="215">
        <f t="shared" si="10"/>
        <v>25.799999999999997</v>
      </c>
      <c r="F37" s="216">
        <f t="shared" si="11"/>
        <v>1507122.0391210436</v>
      </c>
      <c r="G37" s="217">
        <f t="shared" si="12"/>
        <v>1</v>
      </c>
      <c r="H37" s="217">
        <f t="shared" si="18"/>
        <v>1507122.0391210436</v>
      </c>
      <c r="I37" s="217">
        <f t="shared" si="13"/>
        <v>1507122.0391210436</v>
      </c>
      <c r="J37" s="218">
        <f t="shared" si="14"/>
        <v>350493.4974700102</v>
      </c>
      <c r="K37" s="219">
        <f>+'INFORMACION DEL FP'!$D$23</f>
        <v>1.6124599666666666</v>
      </c>
      <c r="L37" s="219">
        <f t="shared" si="15"/>
        <v>84</v>
      </c>
      <c r="M37" s="220">
        <f>+IF(L37=84,'INFORMACION DEL FP'!$D$27,'INFORMACION DEL FP'!$D$25)+IF($D$8=1,0,'INFORMACION DEL FP'!$D$26)</f>
        <v>0.2</v>
      </c>
      <c r="N37" s="221">
        <f t="shared" si="16"/>
        <v>1.8124599666666665</v>
      </c>
      <c r="O37" s="222">
        <f t="shared" si="19"/>
        <v>16389590.16472755</v>
      </c>
      <c r="P37" s="183"/>
      <c r="Q37" s="224">
        <f t="shared" si="17"/>
        <v>180</v>
      </c>
      <c r="R37" s="213"/>
    </row>
    <row r="38" spans="1:18" ht="14.25" customHeight="1">
      <c r="A38" s="315" t="s">
        <v>793</v>
      </c>
      <c r="B38" s="914">
        <v>0</v>
      </c>
      <c r="C38" s="316" t="s">
        <v>74</v>
      </c>
      <c r="D38" s="317">
        <v>0</v>
      </c>
      <c r="E38" s="215">
        <f t="shared" si="10"/>
        <v>0</v>
      </c>
      <c r="F38" s="216">
        <f t="shared" si="11"/>
        <v>1137192.0840640604</v>
      </c>
      <c r="G38" s="217">
        <f t="shared" si="12"/>
        <v>1</v>
      </c>
      <c r="H38" s="217">
        <f t="shared" si="18"/>
        <v>1137192.0840640604</v>
      </c>
      <c r="I38" s="217">
        <f t="shared" si="13"/>
        <v>0</v>
      </c>
      <c r="J38" s="218">
        <f t="shared" si="14"/>
        <v>264463.275363735</v>
      </c>
      <c r="K38" s="219">
        <f>+'INFORMACION DEL FP'!$D$23</f>
        <v>1.6124599666666666</v>
      </c>
      <c r="L38" s="219">
        <f t="shared" si="15"/>
        <v>84</v>
      </c>
      <c r="M38" s="220">
        <f>+IF(L38=84,'INFORMACION DEL FP'!$D$27,'INFORMACION DEL FP'!$D$25)+IF($D$8=1,0,'INFORMACION DEL FP'!$D$26)</f>
        <v>0.2</v>
      </c>
      <c r="N38" s="221">
        <f t="shared" si="16"/>
        <v>1.8124599666666665</v>
      </c>
      <c r="O38" s="222">
        <f t="shared" si="19"/>
        <v>0</v>
      </c>
      <c r="Q38" s="224">
        <f t="shared" si="17"/>
        <v>0</v>
      </c>
      <c r="R38" s="213"/>
    </row>
    <row r="39" spans="1:18" ht="15" customHeight="1" outlineLevel="1">
      <c r="A39" s="315" t="s">
        <v>794</v>
      </c>
      <c r="B39" s="914">
        <v>0</v>
      </c>
      <c r="C39" s="316" t="s">
        <v>75</v>
      </c>
      <c r="D39" s="317">
        <v>0</v>
      </c>
      <c r="E39" s="215">
        <f t="shared" si="10"/>
        <v>0</v>
      </c>
      <c r="F39" s="216">
        <f t="shared" si="11"/>
        <v>945376.551812291</v>
      </c>
      <c r="G39" s="217">
        <f t="shared" si="12"/>
        <v>1</v>
      </c>
      <c r="H39" s="217">
        <f t="shared" si="18"/>
        <v>945376.551812291</v>
      </c>
      <c r="I39" s="217">
        <f t="shared" si="13"/>
        <v>0</v>
      </c>
      <c r="J39" s="218">
        <f t="shared" si="14"/>
        <v>219855.01204937</v>
      </c>
      <c r="K39" s="219">
        <f>+'INFORMACION DEL FP'!$D$23</f>
        <v>1.6124599666666666</v>
      </c>
      <c r="L39" s="219">
        <f t="shared" si="15"/>
        <v>84</v>
      </c>
      <c r="M39" s="220">
        <f>+IF(L39=84,'INFORMACION DEL FP'!$D$27,'INFORMACION DEL FP'!$D$25)+IF($D$8=1,0,'INFORMACION DEL FP'!$D$26)</f>
        <v>0.2</v>
      </c>
      <c r="N39" s="221">
        <f t="shared" si="16"/>
        <v>1.8124599666666665</v>
      </c>
      <c r="O39" s="222">
        <f t="shared" si="19"/>
        <v>0</v>
      </c>
      <c r="P39" s="183"/>
      <c r="Q39" s="224">
        <f t="shared" si="17"/>
        <v>0</v>
      </c>
      <c r="R39" s="213"/>
    </row>
    <row r="40" spans="1:18" ht="15" customHeight="1" outlineLevel="1">
      <c r="A40" s="315" t="s">
        <v>85</v>
      </c>
      <c r="B40" s="914">
        <v>0</v>
      </c>
      <c r="C40" s="316" t="s">
        <v>75</v>
      </c>
      <c r="D40" s="317">
        <v>0</v>
      </c>
      <c r="E40" s="215">
        <f t="shared" si="10"/>
        <v>0</v>
      </c>
      <c r="F40" s="216">
        <f t="shared" si="11"/>
        <v>945376.551812291</v>
      </c>
      <c r="G40" s="217">
        <f t="shared" si="12"/>
        <v>1</v>
      </c>
      <c r="H40" s="217">
        <f t="shared" si="18"/>
        <v>945376.551812291</v>
      </c>
      <c r="I40" s="217">
        <f t="shared" si="13"/>
        <v>0</v>
      </c>
      <c r="J40" s="218">
        <f t="shared" si="14"/>
        <v>219855.01204937</v>
      </c>
      <c r="K40" s="219">
        <f>+'INFORMACION DEL FP'!$D$23</f>
        <v>1.6124599666666666</v>
      </c>
      <c r="L40" s="219">
        <f t="shared" si="15"/>
        <v>84</v>
      </c>
      <c r="M40" s="220">
        <f>+IF(L40=84,'INFORMACION DEL FP'!$D$27,'INFORMACION DEL FP'!$D$25)+IF($D$8=1,0,'INFORMACION DEL FP'!$D$26)</f>
        <v>0.2</v>
      </c>
      <c r="N40" s="221">
        <f t="shared" si="16"/>
        <v>1.8124599666666665</v>
      </c>
      <c r="O40" s="222">
        <f t="shared" si="19"/>
        <v>0</v>
      </c>
      <c r="Q40" s="224">
        <f t="shared" si="17"/>
        <v>0</v>
      </c>
      <c r="R40" s="213"/>
    </row>
    <row r="41" spans="1:18" ht="15" customHeight="1" outlineLevel="1">
      <c r="A41" s="315" t="s">
        <v>19</v>
      </c>
      <c r="B41" s="914">
        <v>0</v>
      </c>
      <c r="C41" s="316" t="s">
        <v>75</v>
      </c>
      <c r="D41" s="317">
        <v>0</v>
      </c>
      <c r="E41" s="215">
        <f t="shared" si="10"/>
        <v>0</v>
      </c>
      <c r="F41" s="216">
        <f t="shared" si="11"/>
        <v>945376.551812291</v>
      </c>
      <c r="G41" s="217">
        <f t="shared" si="12"/>
        <v>1</v>
      </c>
      <c r="H41" s="217">
        <f t="shared" si="18"/>
        <v>945376.551812291</v>
      </c>
      <c r="I41" s="217">
        <f t="shared" si="13"/>
        <v>0</v>
      </c>
      <c r="J41" s="218">
        <f t="shared" si="14"/>
        <v>219855.01204937</v>
      </c>
      <c r="K41" s="219">
        <f>+'INFORMACION DEL FP'!$D$23</f>
        <v>1.6124599666666666</v>
      </c>
      <c r="L41" s="219">
        <f t="shared" si="15"/>
        <v>84</v>
      </c>
      <c r="M41" s="220">
        <f>+IF(L41=84,'INFORMACION DEL FP'!$D$27,'INFORMACION DEL FP'!$D$25)+IF($D$8=1,0,'INFORMACION DEL FP'!$D$26)</f>
        <v>0.2</v>
      </c>
      <c r="N41" s="221">
        <f t="shared" si="16"/>
        <v>1.8124599666666665</v>
      </c>
      <c r="O41" s="222">
        <f t="shared" si="19"/>
        <v>0</v>
      </c>
      <c r="Q41" s="224">
        <f t="shared" si="17"/>
        <v>0</v>
      </c>
      <c r="R41" s="213"/>
    </row>
    <row r="42" spans="1:18" ht="15" customHeight="1" outlineLevel="1">
      <c r="A42" s="315" t="s">
        <v>19</v>
      </c>
      <c r="B42" s="914">
        <v>0</v>
      </c>
      <c r="C42" s="316" t="s">
        <v>75</v>
      </c>
      <c r="D42" s="317">
        <v>0</v>
      </c>
      <c r="E42" s="215">
        <f t="shared" si="10"/>
        <v>0</v>
      </c>
      <c r="F42" s="216">
        <f t="shared" si="11"/>
        <v>945376.551812291</v>
      </c>
      <c r="G42" s="217">
        <f t="shared" si="12"/>
        <v>1</v>
      </c>
      <c r="H42" s="217">
        <f t="shared" si="18"/>
        <v>945376.551812291</v>
      </c>
      <c r="I42" s="217">
        <f t="shared" si="13"/>
        <v>0</v>
      </c>
      <c r="J42" s="218">
        <f t="shared" si="14"/>
        <v>219855.01204937</v>
      </c>
      <c r="K42" s="219">
        <f>+'INFORMACION DEL FP'!$D$23</f>
        <v>1.6124599666666666</v>
      </c>
      <c r="L42" s="219">
        <f t="shared" si="15"/>
        <v>84</v>
      </c>
      <c r="M42" s="220">
        <f>+IF(L42=84,'INFORMACION DEL FP'!$D$27,'INFORMACION DEL FP'!$D$25)+IF($D$8=1,0,'INFORMACION DEL FP'!$D$26)</f>
        <v>0.2</v>
      </c>
      <c r="N42" s="221">
        <f t="shared" si="16"/>
        <v>1.8124599666666665</v>
      </c>
      <c r="O42" s="222">
        <f t="shared" si="19"/>
        <v>0</v>
      </c>
      <c r="Q42" s="224">
        <f t="shared" si="17"/>
        <v>0</v>
      </c>
      <c r="R42" s="213"/>
    </row>
    <row r="43" spans="1:18" ht="15" customHeight="1" outlineLevel="1">
      <c r="A43" s="315" t="s">
        <v>16</v>
      </c>
      <c r="B43" s="914">
        <v>0</v>
      </c>
      <c r="C43" s="316" t="s">
        <v>75</v>
      </c>
      <c r="D43" s="317">
        <v>0</v>
      </c>
      <c r="E43" s="215">
        <f t="shared" si="10"/>
        <v>0</v>
      </c>
      <c r="F43" s="216">
        <f t="shared" si="11"/>
        <v>945376.551812291</v>
      </c>
      <c r="G43" s="217">
        <f t="shared" si="12"/>
        <v>1</v>
      </c>
      <c r="H43" s="217">
        <f t="shared" si="18"/>
        <v>945376.551812291</v>
      </c>
      <c r="I43" s="217">
        <f t="shared" si="13"/>
        <v>0</v>
      </c>
      <c r="J43" s="218">
        <f t="shared" si="14"/>
        <v>219855.01204937</v>
      </c>
      <c r="K43" s="219">
        <f>+'INFORMACION DEL FP'!$D$23</f>
        <v>1.6124599666666666</v>
      </c>
      <c r="L43" s="219">
        <f t="shared" si="15"/>
        <v>84</v>
      </c>
      <c r="M43" s="220">
        <f>+IF(L43=84,'INFORMACION DEL FP'!$D$27,'INFORMACION DEL FP'!$D$25)+IF($D$8=1,0,'INFORMACION DEL FP'!$D$26)</f>
        <v>0.2</v>
      </c>
      <c r="N43" s="221">
        <f t="shared" si="16"/>
        <v>1.8124599666666665</v>
      </c>
      <c r="O43" s="222">
        <f t="shared" si="19"/>
        <v>0</v>
      </c>
      <c r="Q43" s="224">
        <f t="shared" si="17"/>
        <v>0</v>
      </c>
      <c r="R43" s="213"/>
    </row>
    <row r="44" spans="1:18" ht="15" customHeight="1" outlineLevel="1">
      <c r="A44" s="315" t="s">
        <v>86</v>
      </c>
      <c r="B44" s="914">
        <v>0</v>
      </c>
      <c r="C44" s="316" t="s">
        <v>75</v>
      </c>
      <c r="D44" s="317">
        <v>0</v>
      </c>
      <c r="E44" s="215">
        <f t="shared" si="10"/>
        <v>0</v>
      </c>
      <c r="F44" s="216">
        <f t="shared" si="11"/>
        <v>945376.551812291</v>
      </c>
      <c r="G44" s="217">
        <f t="shared" si="12"/>
        <v>1</v>
      </c>
      <c r="H44" s="217">
        <f t="shared" si="18"/>
        <v>945376.551812291</v>
      </c>
      <c r="I44" s="217">
        <f t="shared" si="13"/>
        <v>0</v>
      </c>
      <c r="J44" s="218">
        <f t="shared" si="14"/>
        <v>219855.01204937</v>
      </c>
      <c r="K44" s="219">
        <f>+'INFORMACION DEL FP'!$D$23</f>
        <v>1.6124599666666666</v>
      </c>
      <c r="L44" s="219">
        <f t="shared" si="15"/>
        <v>84</v>
      </c>
      <c r="M44" s="220">
        <f>+IF(L44=84,'INFORMACION DEL FP'!$D$27,'INFORMACION DEL FP'!$D$25)+IF($D$8=1,0,'INFORMACION DEL FP'!$D$26)</f>
        <v>0.2</v>
      </c>
      <c r="N44" s="221">
        <f t="shared" si="16"/>
        <v>1.8124599666666665</v>
      </c>
      <c r="O44" s="222">
        <f t="shared" si="19"/>
        <v>0</v>
      </c>
      <c r="Q44" s="224">
        <f t="shared" si="17"/>
        <v>0</v>
      </c>
      <c r="R44" s="213"/>
    </row>
    <row r="45" spans="1:17" ht="12.75">
      <c r="A45" s="226"/>
      <c r="B45" s="227"/>
      <c r="C45" s="228"/>
      <c r="D45" s="229"/>
      <c r="E45" s="227"/>
      <c r="F45" s="230"/>
      <c r="G45" s="230"/>
      <c r="H45" s="230"/>
      <c r="I45" s="230">
        <f>SUM(I35:I44)</f>
        <v>1907879.4904327758</v>
      </c>
      <c r="J45" s="227"/>
      <c r="K45" s="231"/>
      <c r="L45" s="231"/>
      <c r="M45" s="226"/>
      <c r="N45" s="231"/>
      <c r="O45" s="227"/>
      <c r="P45" s="223"/>
      <c r="Q45" s="232"/>
    </row>
    <row r="46" spans="1:248" s="185" customFormat="1" ht="15" customHeight="1">
      <c r="A46" s="319" t="s">
        <v>597</v>
      </c>
      <c r="B46" s="313"/>
      <c r="C46" s="313">
        <f>SUM(CdadNoFactura)</f>
        <v>2</v>
      </c>
      <c r="D46" s="313"/>
      <c r="E46" s="313"/>
      <c r="F46" s="313"/>
      <c r="G46" s="314"/>
      <c r="H46" s="314"/>
      <c r="I46" s="314"/>
      <c r="J46" s="314"/>
      <c r="K46" s="313"/>
      <c r="L46" s="313"/>
      <c r="M46" s="313"/>
      <c r="N46" s="313"/>
      <c r="O46" s="313">
        <f>NoFacturable</f>
        <v>1992378.178933971</v>
      </c>
      <c r="P46" s="185">
        <f>SUM(TotalNoFacturable)</f>
        <v>1992378.178933971</v>
      </c>
      <c r="Q46" s="214"/>
      <c r="R46" s="213"/>
      <c r="IN46" s="182"/>
    </row>
    <row r="47" spans="1:18" ht="15">
      <c r="A47" s="318" t="s">
        <v>271</v>
      </c>
      <c r="B47" s="914">
        <v>1</v>
      </c>
      <c r="C47" s="316" t="s">
        <v>7</v>
      </c>
      <c r="D47" s="317">
        <v>0.02</v>
      </c>
      <c r="E47" s="215">
        <f>DuracionSemanas*D47</f>
        <v>0.5159999999999999</v>
      </c>
      <c r="F47" s="216">
        <f>VLOOKUP(C47,TarifaMT,21,0)</f>
        <v>4318589.697554118</v>
      </c>
      <c r="G47" s="217">
        <f>+IF($D$8=1,1,IF($D$8=2,1,IF($D$8=3,1,IF($D$8=4,1,IF($D$8=5,1,"ERROR")))))</f>
        <v>1</v>
      </c>
      <c r="H47" s="217">
        <f>+F47*G47</f>
        <v>4318589.697554118</v>
      </c>
      <c r="I47" s="217">
        <f>B47*D47*H47</f>
        <v>86371.79395108236</v>
      </c>
      <c r="J47" s="218">
        <f>+H47/4.3</f>
        <v>1004323.185477702</v>
      </c>
      <c r="K47" s="219">
        <f>+'INFORMACION DEL FP'!$D$23</f>
        <v>1.6124599666666666</v>
      </c>
      <c r="L47" s="219">
        <f>CODE(C47)</f>
        <v>80</v>
      </c>
      <c r="M47" s="220" t="str">
        <f>+IF(L47=84,'INFORMACION DEL FP'!$D$27,'INFORMACION DEL FP'!$D$25)</f>
        <v>20%</v>
      </c>
      <c r="N47" s="221">
        <f>+K47+M47</f>
        <v>1.8124599666666665</v>
      </c>
      <c r="O47" s="222">
        <f>E47*J47*N47*B47</f>
        <v>939272.5127131135</v>
      </c>
      <c r="P47" s="223"/>
      <c r="Q47" s="224">
        <f>+DuracionMeses*30*D47/100%</f>
        <v>3.6</v>
      </c>
      <c r="R47" s="213"/>
    </row>
    <row r="48" spans="1:18" ht="15" customHeight="1">
      <c r="A48" s="315" t="s">
        <v>17</v>
      </c>
      <c r="B48" s="914">
        <v>1</v>
      </c>
      <c r="C48" s="316" t="s">
        <v>6</v>
      </c>
      <c r="D48" s="317">
        <v>0.02</v>
      </c>
      <c r="E48" s="215">
        <f>DuracionSemanas*D48</f>
        <v>0.5159999999999999</v>
      </c>
      <c r="F48" s="216">
        <f>VLOOKUP(C48,TarifaMT,21,0)</f>
        <v>4841972.078412518</v>
      </c>
      <c r="G48" s="217">
        <f>+IF($D$8=1,1,IF($D$8=2,1,IF($D$8=3,1,IF($D$8=4,1,IF($D$8=5,1,"ERROR")))))</f>
        <v>1</v>
      </c>
      <c r="H48" s="217">
        <f>+F48*G48</f>
        <v>4841972.078412518</v>
      </c>
      <c r="I48" s="217">
        <f>B48*D48*H48</f>
        <v>96839.44156825036</v>
      </c>
      <c r="J48" s="218">
        <f>+H48/4.3</f>
        <v>1126040.0182354692</v>
      </c>
      <c r="K48" s="219">
        <f>+'INFORMACION DEL FP'!$D$23</f>
        <v>1.6124599666666666</v>
      </c>
      <c r="L48" s="219">
        <f>CODE(C48)</f>
        <v>80</v>
      </c>
      <c r="M48" s="220" t="str">
        <f>+IF(L48=84,'INFORMACION DEL FP'!$D$27,'INFORMACION DEL FP'!$D$25)</f>
        <v>20%</v>
      </c>
      <c r="N48" s="221">
        <f>+K48+M48</f>
        <v>1.8124599666666665</v>
      </c>
      <c r="O48" s="222">
        <f>E48*J48*N48*B48</f>
        <v>1053105.6662208578</v>
      </c>
      <c r="Q48" s="224">
        <f>+DuracionMeses*30*D48/100%</f>
        <v>3.6</v>
      </c>
      <c r="R48" s="213"/>
    </row>
    <row r="49" spans="1:18" ht="15" customHeight="1" outlineLevel="1">
      <c r="A49" s="315" t="s">
        <v>277</v>
      </c>
      <c r="B49" s="914">
        <v>0</v>
      </c>
      <c r="C49" s="316" t="s">
        <v>6</v>
      </c>
      <c r="D49" s="317">
        <v>0</v>
      </c>
      <c r="E49" s="215">
        <f>DuracionSemanas*D49</f>
        <v>0</v>
      </c>
      <c r="F49" s="216">
        <f>VLOOKUP(C49,TarifaMT,21,0)</f>
        <v>4841972.078412518</v>
      </c>
      <c r="G49" s="217">
        <f>+IF($D$8=1,1,IF($D$8=2,1,IF($D$8=3,1,IF($D$8=4,1,IF($D$8=5,1,"ERROR")))))</f>
        <v>1</v>
      </c>
      <c r="H49" s="217">
        <f>+F49*G49</f>
        <v>4841972.078412518</v>
      </c>
      <c r="I49" s="217">
        <f>B49*D49*H49</f>
        <v>0</v>
      </c>
      <c r="J49" s="218">
        <f>+H49/4.3</f>
        <v>1126040.0182354692</v>
      </c>
      <c r="K49" s="219">
        <f>+'INFORMACION DEL FP'!$D$23</f>
        <v>1.6124599666666666</v>
      </c>
      <c r="L49" s="219">
        <f>CODE(C49)</f>
        <v>80</v>
      </c>
      <c r="M49" s="220" t="str">
        <f>+IF(L49=84,'INFORMACION DEL FP'!$D$27,'INFORMACION DEL FP'!$D$25)</f>
        <v>20%</v>
      </c>
      <c r="N49" s="221">
        <f>+K49+M49</f>
        <v>1.8124599666666665</v>
      </c>
      <c r="O49" s="222">
        <f>E49*J49*N49*B49</f>
        <v>0</v>
      </c>
      <c r="Q49" s="224">
        <f>+DuracionMeses*30*D49/100%</f>
        <v>0</v>
      </c>
      <c r="R49" s="213"/>
    </row>
    <row r="50" spans="1:18" ht="15" customHeight="1" outlineLevel="1">
      <c r="A50" s="315" t="s">
        <v>274</v>
      </c>
      <c r="B50" s="914">
        <v>0</v>
      </c>
      <c r="C50" s="316" t="s">
        <v>75</v>
      </c>
      <c r="D50" s="317">
        <v>0</v>
      </c>
      <c r="E50" s="215">
        <f>DuracionSemanas*D50</f>
        <v>0</v>
      </c>
      <c r="F50" s="216">
        <f>VLOOKUP(C50,TarifaMT,21,0)</f>
        <v>945376.551812291</v>
      </c>
      <c r="G50" s="217">
        <f>+IF($D$8=1,1,IF($D$8=2,1,IF($D$8=3,1,IF($D$8=4,1,IF($D$8=5,1,"ERROR")))))</f>
        <v>1</v>
      </c>
      <c r="H50" s="217">
        <f>+F50*G50</f>
        <v>945376.551812291</v>
      </c>
      <c r="I50" s="217">
        <f>B50*D50*H50</f>
        <v>0</v>
      </c>
      <c r="J50" s="218">
        <f>+H50/4.3</f>
        <v>219855.01204937</v>
      </c>
      <c r="K50" s="219">
        <f>+'INFORMACION DEL FP'!$D$23</f>
        <v>1.6124599666666666</v>
      </c>
      <c r="L50" s="219">
        <f>CODE(C50)</f>
        <v>84</v>
      </c>
      <c r="M50" s="220" t="str">
        <f>+IF(L50=84,'INFORMACION DEL FP'!$D$27,'INFORMACION DEL FP'!$D$25)</f>
        <v>20%</v>
      </c>
      <c r="N50" s="221">
        <f>+K50+M50</f>
        <v>1.8124599666666665</v>
      </c>
      <c r="O50" s="222">
        <f>E50*J50*N50*B50</f>
        <v>0</v>
      </c>
      <c r="Q50" s="224">
        <f>+DuracionMeses*30*D50/100%</f>
        <v>0</v>
      </c>
      <c r="R50" s="213"/>
    </row>
    <row r="51" spans="1:18" ht="15" customHeight="1" outlineLevel="1">
      <c r="A51" s="315" t="s">
        <v>273</v>
      </c>
      <c r="B51" s="914">
        <v>0</v>
      </c>
      <c r="C51" s="316" t="s">
        <v>75</v>
      </c>
      <c r="D51" s="317">
        <v>0</v>
      </c>
      <c r="E51" s="215">
        <f>DuracionSemanas*D51</f>
        <v>0</v>
      </c>
      <c r="F51" s="216">
        <f>VLOOKUP(C51,TarifaMT,21,0)</f>
        <v>945376.551812291</v>
      </c>
      <c r="G51" s="217">
        <f>+IF($D$8=1,1,IF($D$8=2,1,IF($D$8=3,1,IF($D$8=4,1,IF($D$8=5,1,"ERROR")))))</f>
        <v>1</v>
      </c>
      <c r="H51" s="217">
        <f>+F51*G51</f>
        <v>945376.551812291</v>
      </c>
      <c r="I51" s="217">
        <f>B51*D51*H51</f>
        <v>0</v>
      </c>
      <c r="J51" s="218">
        <f>+H51/4.3</f>
        <v>219855.01204937</v>
      </c>
      <c r="K51" s="219">
        <f>+'INFORMACION DEL FP'!$D$23</f>
        <v>1.6124599666666666</v>
      </c>
      <c r="L51" s="219">
        <f>CODE(C51)</f>
        <v>84</v>
      </c>
      <c r="M51" s="220" t="str">
        <f>+IF(L51=84,'INFORMACION DEL FP'!$D$27,'INFORMACION DEL FP'!$D$25)</f>
        <v>20%</v>
      </c>
      <c r="N51" s="221">
        <f>+K51+M51</f>
        <v>1.8124599666666665</v>
      </c>
      <c r="O51" s="222">
        <f>E51*J51*N51*B51</f>
        <v>0</v>
      </c>
      <c r="Q51" s="224">
        <f>+DuracionMeses*30*D51/100%</f>
        <v>0</v>
      </c>
      <c r="R51" s="213"/>
    </row>
    <row r="52" spans="1:17" ht="12.75">
      <c r="A52" s="226"/>
      <c r="B52" s="227"/>
      <c r="C52" s="228"/>
      <c r="D52" s="229"/>
      <c r="E52" s="227"/>
      <c r="F52" s="230"/>
      <c r="G52" s="230"/>
      <c r="H52" s="230"/>
      <c r="I52" s="230">
        <f>SUM(I47:I51)</f>
        <v>183211.23551933272</v>
      </c>
      <c r="J52" s="227"/>
      <c r="K52" s="231"/>
      <c r="L52" s="231"/>
      <c r="M52" s="387"/>
      <c r="N52" s="231"/>
      <c r="O52" s="227"/>
      <c r="P52" s="223"/>
      <c r="Q52" s="232"/>
    </row>
    <row r="53" spans="1:248" s="185" customFormat="1" ht="15" customHeight="1">
      <c r="A53" s="319" t="s">
        <v>598</v>
      </c>
      <c r="B53" s="313"/>
      <c r="C53" s="313">
        <f>SUM(CdadCalidad)</f>
        <v>0</v>
      </c>
      <c r="D53" s="313"/>
      <c r="E53" s="313"/>
      <c r="F53" s="313"/>
      <c r="G53" s="314"/>
      <c r="H53" s="314"/>
      <c r="I53" s="314"/>
      <c r="J53" s="314"/>
      <c r="K53" s="313"/>
      <c r="L53" s="313"/>
      <c r="M53" s="388"/>
      <c r="N53" s="313"/>
      <c r="O53" s="313">
        <f>Calidad</f>
        <v>0</v>
      </c>
      <c r="P53" s="185">
        <f>SUM(TotalCalidad)</f>
        <v>0</v>
      </c>
      <c r="Q53" s="214"/>
      <c r="R53" s="213"/>
      <c r="IN53" s="182"/>
    </row>
    <row r="54" spans="1:18" ht="12.75">
      <c r="A54" s="318" t="s">
        <v>275</v>
      </c>
      <c r="B54" s="320">
        <v>0</v>
      </c>
      <c r="C54" s="316" t="s">
        <v>6</v>
      </c>
      <c r="D54" s="317">
        <v>0</v>
      </c>
      <c r="E54" s="215">
        <f aca="true" t="shared" si="20" ref="E54:E62">DuracionSemanas*D54</f>
        <v>0</v>
      </c>
      <c r="F54" s="216">
        <f aca="true" t="shared" si="21" ref="F54:F62">VLOOKUP(C54,TarifaMT,21,0)</f>
        <v>4841972.078412518</v>
      </c>
      <c r="G54" s="217">
        <f aca="true" t="shared" si="22" ref="G54:G62">+IF($D$8=1,1,IF($D$8=2,1,IF($D$8=3,1,IF($D$8=4,1,IF($D$8=5,1,"ERROR")))))</f>
        <v>1</v>
      </c>
      <c r="H54" s="217">
        <f>+F54*G54</f>
        <v>4841972.078412518</v>
      </c>
      <c r="I54" s="217">
        <f aca="true" t="shared" si="23" ref="I54:I62">B54*D54*H54</f>
        <v>0</v>
      </c>
      <c r="J54" s="218">
        <f>+H54/4.3</f>
        <v>1126040.0182354692</v>
      </c>
      <c r="K54" s="219">
        <f>+'INFORMACION DEL FP'!$D$23</f>
        <v>1.6124599666666666</v>
      </c>
      <c r="L54" s="219">
        <f>CODE(C54)</f>
        <v>80</v>
      </c>
      <c r="M54" s="220" t="str">
        <f>+IF(L54=84,'INFORMACION DEL FP'!$D$27,'INFORMACION DEL FP'!$D$25)</f>
        <v>20%</v>
      </c>
      <c r="N54" s="221">
        <f>+K54+M54</f>
        <v>1.8124599666666665</v>
      </c>
      <c r="O54" s="222">
        <f>E54*J54*N54*B54</f>
        <v>0</v>
      </c>
      <c r="P54" s="223"/>
      <c r="Q54" s="224">
        <f aca="true" t="shared" si="24" ref="Q54:Q62">+DuracionMeses*30*D54/100%</f>
        <v>0</v>
      </c>
      <c r="R54" s="213"/>
    </row>
    <row r="55" spans="1:18" ht="15" customHeight="1">
      <c r="A55" s="315" t="s">
        <v>275</v>
      </c>
      <c r="B55" s="320">
        <v>0</v>
      </c>
      <c r="C55" s="316" t="s">
        <v>7</v>
      </c>
      <c r="D55" s="317">
        <v>0</v>
      </c>
      <c r="E55" s="215">
        <f t="shared" si="20"/>
        <v>0</v>
      </c>
      <c r="F55" s="216">
        <f t="shared" si="21"/>
        <v>4318589.697554118</v>
      </c>
      <c r="G55" s="217">
        <f t="shared" si="22"/>
        <v>1</v>
      </c>
      <c r="H55" s="217">
        <f aca="true" t="shared" si="25" ref="H55:H62">+F55*G55</f>
        <v>4318589.697554118</v>
      </c>
      <c r="I55" s="217">
        <f t="shared" si="23"/>
        <v>0</v>
      </c>
      <c r="J55" s="218">
        <f aca="true" t="shared" si="26" ref="J55:J62">+H55/4.3</f>
        <v>1004323.185477702</v>
      </c>
      <c r="K55" s="219">
        <f>+'INFORMACION DEL FP'!$D$23</f>
        <v>1.6124599666666666</v>
      </c>
      <c r="L55" s="219">
        <f aca="true" t="shared" si="27" ref="L55:L62">CODE(C55)</f>
        <v>80</v>
      </c>
      <c r="M55" s="220" t="str">
        <f>+IF(L55=84,'INFORMACION DEL FP'!$D$27,'INFORMACION DEL FP'!$D$25)</f>
        <v>20%</v>
      </c>
      <c r="N55" s="221">
        <f aca="true" t="shared" si="28" ref="N55:N62">+K55+M55</f>
        <v>1.8124599666666665</v>
      </c>
      <c r="O55" s="222">
        <f aca="true" t="shared" si="29" ref="O55:O62">E55*J55*N55*B55</f>
        <v>0</v>
      </c>
      <c r="Q55" s="224">
        <f t="shared" si="24"/>
        <v>0</v>
      </c>
      <c r="R55" s="213"/>
    </row>
    <row r="56" spans="1:18" ht="15" customHeight="1">
      <c r="A56" s="315" t="s">
        <v>254</v>
      </c>
      <c r="B56" s="320">
        <v>0</v>
      </c>
      <c r="C56" s="316" t="s">
        <v>6</v>
      </c>
      <c r="D56" s="317">
        <v>0</v>
      </c>
      <c r="E56" s="215">
        <f t="shared" si="20"/>
        <v>0</v>
      </c>
      <c r="F56" s="216">
        <f t="shared" si="21"/>
        <v>4841972.078412518</v>
      </c>
      <c r="G56" s="217">
        <f t="shared" si="22"/>
        <v>1</v>
      </c>
      <c r="H56" s="217">
        <f t="shared" si="25"/>
        <v>4841972.078412518</v>
      </c>
      <c r="I56" s="217">
        <f t="shared" si="23"/>
        <v>0</v>
      </c>
      <c r="J56" s="218">
        <f t="shared" si="26"/>
        <v>1126040.0182354692</v>
      </c>
      <c r="K56" s="219">
        <f>+'INFORMACION DEL FP'!$D$23</f>
        <v>1.6124599666666666</v>
      </c>
      <c r="L56" s="219">
        <f t="shared" si="27"/>
        <v>80</v>
      </c>
      <c r="M56" s="220" t="str">
        <f>+IF(L56=84,'INFORMACION DEL FP'!$D$27,'INFORMACION DEL FP'!$D$25)</f>
        <v>20%</v>
      </c>
      <c r="N56" s="221">
        <f t="shared" si="28"/>
        <v>1.8124599666666665</v>
      </c>
      <c r="O56" s="222">
        <f t="shared" si="29"/>
        <v>0</v>
      </c>
      <c r="Q56" s="224">
        <f t="shared" si="24"/>
        <v>0</v>
      </c>
      <c r="R56" s="213"/>
    </row>
    <row r="57" spans="1:18" ht="15" customHeight="1" outlineLevel="1">
      <c r="A57" s="315" t="s">
        <v>275</v>
      </c>
      <c r="B57" s="320">
        <v>0</v>
      </c>
      <c r="C57" s="316" t="s">
        <v>7</v>
      </c>
      <c r="D57" s="317">
        <v>0</v>
      </c>
      <c r="E57" s="215">
        <f t="shared" si="20"/>
        <v>0</v>
      </c>
      <c r="F57" s="216">
        <f t="shared" si="21"/>
        <v>4318589.697554118</v>
      </c>
      <c r="G57" s="217">
        <f t="shared" si="22"/>
        <v>1</v>
      </c>
      <c r="H57" s="217">
        <f t="shared" si="25"/>
        <v>4318589.697554118</v>
      </c>
      <c r="I57" s="217">
        <f t="shared" si="23"/>
        <v>0</v>
      </c>
      <c r="J57" s="218">
        <f t="shared" si="26"/>
        <v>1004323.185477702</v>
      </c>
      <c r="K57" s="219">
        <f>+'INFORMACION DEL FP'!$D$23</f>
        <v>1.6124599666666666</v>
      </c>
      <c r="L57" s="219">
        <f t="shared" si="27"/>
        <v>80</v>
      </c>
      <c r="M57" s="220" t="str">
        <f>+IF(L57=84,'INFORMACION DEL FP'!$D$27,'INFORMACION DEL FP'!$D$25)</f>
        <v>20%</v>
      </c>
      <c r="N57" s="221">
        <f t="shared" si="28"/>
        <v>1.8124599666666665</v>
      </c>
      <c r="O57" s="222">
        <f t="shared" si="29"/>
        <v>0</v>
      </c>
      <c r="Q57" s="233">
        <f t="shared" si="24"/>
        <v>0</v>
      </c>
      <c r="R57" s="213"/>
    </row>
    <row r="58" spans="1:18" ht="15" customHeight="1" outlineLevel="1">
      <c r="A58" s="315" t="s">
        <v>228</v>
      </c>
      <c r="B58" s="320">
        <v>0</v>
      </c>
      <c r="C58" s="316" t="s">
        <v>5</v>
      </c>
      <c r="D58" s="317">
        <v>0</v>
      </c>
      <c r="E58" s="215">
        <f t="shared" si="20"/>
        <v>0</v>
      </c>
      <c r="F58" s="216">
        <f t="shared" si="21"/>
        <v>5368094.6811602255</v>
      </c>
      <c r="G58" s="217">
        <f t="shared" si="22"/>
        <v>1</v>
      </c>
      <c r="H58" s="217">
        <f t="shared" si="25"/>
        <v>5368094.6811602255</v>
      </c>
      <c r="I58" s="217">
        <f t="shared" si="23"/>
        <v>0</v>
      </c>
      <c r="J58" s="218">
        <f t="shared" si="26"/>
        <v>1248394.111897727</v>
      </c>
      <c r="K58" s="219">
        <f>+'INFORMACION DEL FP'!$D$23</f>
        <v>1.6124599666666666</v>
      </c>
      <c r="L58" s="219">
        <f t="shared" si="27"/>
        <v>80</v>
      </c>
      <c r="M58" s="220" t="str">
        <f>+IF(L58=84,'INFORMACION DEL FP'!$D$27,'INFORMACION DEL FP'!$D$25)</f>
        <v>20%</v>
      </c>
      <c r="N58" s="221">
        <f t="shared" si="28"/>
        <v>1.8124599666666665</v>
      </c>
      <c r="O58" s="222">
        <f t="shared" si="29"/>
        <v>0</v>
      </c>
      <c r="Q58" s="233">
        <f t="shared" si="24"/>
        <v>0</v>
      </c>
      <c r="R58" s="213"/>
    </row>
    <row r="59" spans="1:18" ht="15" customHeight="1" outlineLevel="1">
      <c r="A59" s="315" t="s">
        <v>235</v>
      </c>
      <c r="B59" s="320">
        <v>0</v>
      </c>
      <c r="C59" s="316" t="s">
        <v>3</v>
      </c>
      <c r="D59" s="317">
        <v>0</v>
      </c>
      <c r="E59" s="215">
        <f t="shared" si="20"/>
        <v>0</v>
      </c>
      <c r="F59" s="216">
        <f t="shared" si="21"/>
        <v>7469844.870261756</v>
      </c>
      <c r="G59" s="217">
        <f t="shared" si="22"/>
        <v>1</v>
      </c>
      <c r="H59" s="217">
        <f t="shared" si="25"/>
        <v>7469844.870261756</v>
      </c>
      <c r="I59" s="217">
        <f t="shared" si="23"/>
        <v>0</v>
      </c>
      <c r="J59" s="218">
        <f t="shared" si="26"/>
        <v>1737173.2256422688</v>
      </c>
      <c r="K59" s="219">
        <f>+'INFORMACION DEL FP'!$D$23</f>
        <v>1.6124599666666666</v>
      </c>
      <c r="L59" s="219">
        <f t="shared" si="27"/>
        <v>80</v>
      </c>
      <c r="M59" s="220" t="str">
        <f>+IF(L59=84,'INFORMACION DEL FP'!$D$27,'INFORMACION DEL FP'!$D$25)</f>
        <v>20%</v>
      </c>
      <c r="N59" s="221">
        <f t="shared" si="28"/>
        <v>1.8124599666666665</v>
      </c>
      <c r="O59" s="222">
        <f t="shared" si="29"/>
        <v>0</v>
      </c>
      <c r="Q59" s="233">
        <f t="shared" si="24"/>
        <v>0</v>
      </c>
      <c r="R59" s="213"/>
    </row>
    <row r="60" spans="1:18" ht="15" customHeight="1" outlineLevel="1">
      <c r="A60" s="315" t="s">
        <v>229</v>
      </c>
      <c r="B60" s="320">
        <v>0</v>
      </c>
      <c r="C60" s="316" t="s">
        <v>3</v>
      </c>
      <c r="D60" s="317">
        <v>0</v>
      </c>
      <c r="E60" s="215">
        <f t="shared" si="20"/>
        <v>0</v>
      </c>
      <c r="F60" s="216">
        <f t="shared" si="21"/>
        <v>7469844.870261756</v>
      </c>
      <c r="G60" s="217">
        <f t="shared" si="22"/>
        <v>1</v>
      </c>
      <c r="H60" s="217">
        <f t="shared" si="25"/>
        <v>7469844.870261756</v>
      </c>
      <c r="I60" s="217">
        <f t="shared" si="23"/>
        <v>0</v>
      </c>
      <c r="J60" s="218">
        <f t="shared" si="26"/>
        <v>1737173.2256422688</v>
      </c>
      <c r="K60" s="219">
        <f>+'INFORMACION DEL FP'!$D$23</f>
        <v>1.6124599666666666</v>
      </c>
      <c r="L60" s="219">
        <f t="shared" si="27"/>
        <v>80</v>
      </c>
      <c r="M60" s="220" t="str">
        <f>+IF(L60=84,'INFORMACION DEL FP'!$D$27,'INFORMACION DEL FP'!$D$25)</f>
        <v>20%</v>
      </c>
      <c r="N60" s="221">
        <f t="shared" si="28"/>
        <v>1.8124599666666665</v>
      </c>
      <c r="O60" s="222">
        <f t="shared" si="29"/>
        <v>0</v>
      </c>
      <c r="Q60" s="233">
        <f t="shared" si="24"/>
        <v>0</v>
      </c>
      <c r="R60" s="213"/>
    </row>
    <row r="61" spans="1:18" ht="15" customHeight="1" outlineLevel="1">
      <c r="A61" s="315" t="s">
        <v>226</v>
      </c>
      <c r="B61" s="320">
        <v>0</v>
      </c>
      <c r="C61" s="316" t="s">
        <v>4</v>
      </c>
      <c r="D61" s="317">
        <v>0</v>
      </c>
      <c r="E61" s="215">
        <f t="shared" si="20"/>
        <v>0</v>
      </c>
      <c r="F61" s="216">
        <f t="shared" si="21"/>
        <v>6302510.345415276</v>
      </c>
      <c r="G61" s="217">
        <f t="shared" si="22"/>
        <v>1</v>
      </c>
      <c r="H61" s="217">
        <f t="shared" si="25"/>
        <v>6302510.345415276</v>
      </c>
      <c r="I61" s="217">
        <f t="shared" si="23"/>
        <v>0</v>
      </c>
      <c r="J61" s="218">
        <f t="shared" si="26"/>
        <v>1465700.080329134</v>
      </c>
      <c r="K61" s="219">
        <f>+'INFORMACION DEL FP'!$D$23</f>
        <v>1.6124599666666666</v>
      </c>
      <c r="L61" s="219">
        <f t="shared" si="27"/>
        <v>80</v>
      </c>
      <c r="M61" s="220" t="str">
        <f>+IF(L61=84,'INFORMACION DEL FP'!$D$27,'INFORMACION DEL FP'!$D$25)</f>
        <v>20%</v>
      </c>
      <c r="N61" s="221">
        <f t="shared" si="28"/>
        <v>1.8124599666666665</v>
      </c>
      <c r="O61" s="222">
        <f t="shared" si="29"/>
        <v>0</v>
      </c>
      <c r="Q61" s="233">
        <f t="shared" si="24"/>
        <v>0</v>
      </c>
      <c r="R61" s="213"/>
    </row>
    <row r="62" spans="1:18" ht="15" customHeight="1" outlineLevel="1">
      <c r="A62" s="315" t="s">
        <v>228</v>
      </c>
      <c r="B62" s="320">
        <v>0</v>
      </c>
      <c r="C62" s="316" t="s">
        <v>5</v>
      </c>
      <c r="D62" s="317">
        <v>0</v>
      </c>
      <c r="E62" s="215">
        <f t="shared" si="20"/>
        <v>0</v>
      </c>
      <c r="F62" s="216">
        <f t="shared" si="21"/>
        <v>5368094.6811602255</v>
      </c>
      <c r="G62" s="217">
        <f t="shared" si="22"/>
        <v>1</v>
      </c>
      <c r="H62" s="217">
        <f t="shared" si="25"/>
        <v>5368094.6811602255</v>
      </c>
      <c r="I62" s="217">
        <f t="shared" si="23"/>
        <v>0</v>
      </c>
      <c r="J62" s="218">
        <f t="shared" si="26"/>
        <v>1248394.111897727</v>
      </c>
      <c r="K62" s="219">
        <f>+'INFORMACION DEL FP'!$D$23</f>
        <v>1.6124599666666666</v>
      </c>
      <c r="L62" s="219">
        <f t="shared" si="27"/>
        <v>80</v>
      </c>
      <c r="M62" s="220" t="str">
        <f>+IF(L62=84,'INFORMACION DEL FP'!$D$27,'INFORMACION DEL FP'!$D$25)</f>
        <v>20%</v>
      </c>
      <c r="N62" s="221">
        <f t="shared" si="28"/>
        <v>1.8124599666666665</v>
      </c>
      <c r="O62" s="222">
        <f t="shared" si="29"/>
        <v>0</v>
      </c>
      <c r="Q62" s="233">
        <f t="shared" si="24"/>
        <v>0</v>
      </c>
      <c r="R62" s="213"/>
    </row>
    <row r="63" spans="1:16" ht="12.75">
      <c r="A63" s="226"/>
      <c r="B63" s="227"/>
      <c r="C63" s="228"/>
      <c r="D63" s="229"/>
      <c r="E63" s="227"/>
      <c r="F63" s="230"/>
      <c r="G63" s="230"/>
      <c r="H63" s="230"/>
      <c r="I63" s="230">
        <f>SUM(I54:I62)</f>
        <v>0</v>
      </c>
      <c r="J63" s="227"/>
      <c r="K63" s="231"/>
      <c r="L63" s="231"/>
      <c r="M63" s="226"/>
      <c r="N63" s="231"/>
      <c r="O63" s="227"/>
      <c r="P63" s="223"/>
    </row>
    <row r="64" spans="1:248" s="185" customFormat="1" ht="15" customHeight="1">
      <c r="A64" s="319" t="s">
        <v>599</v>
      </c>
      <c r="B64" s="301"/>
      <c r="C64" s="313"/>
      <c r="D64" s="313"/>
      <c r="E64" s="313"/>
      <c r="F64" s="313"/>
      <c r="G64" s="313"/>
      <c r="H64" s="314"/>
      <c r="I64" s="314"/>
      <c r="J64" s="314"/>
      <c r="K64" s="314"/>
      <c r="L64" s="313"/>
      <c r="M64" s="313"/>
      <c r="N64" s="313"/>
      <c r="O64" s="313">
        <f>Oficina</f>
        <v>6372043.4257236</v>
      </c>
      <c r="P64" s="185">
        <f>SUM(TotalOfi)</f>
        <v>6372043.4257236</v>
      </c>
      <c r="Q64" s="214">
        <f>+Oficina/DuracionMeses</f>
        <v>1062007.2376206</v>
      </c>
      <c r="R64" s="213"/>
      <c r="IN64" s="182"/>
    </row>
    <row r="65" spans="1:18" ht="15" customHeight="1" outlineLevel="1">
      <c r="A65" s="226"/>
      <c r="B65" s="321">
        <v>1</v>
      </c>
      <c r="C65" s="322" t="s">
        <v>588</v>
      </c>
      <c r="D65" s="323">
        <v>0.3</v>
      </c>
      <c r="E65" s="234">
        <f aca="true" t="shared" si="30" ref="E65:E72">DuracionSemanas*D65</f>
        <v>7.739999999999998</v>
      </c>
      <c r="F65" s="216">
        <f aca="true" t="shared" si="31" ref="F65:F73">VLOOKUP(C65,$A$202:$B$216,2,FALSE)</f>
        <v>365728.4409375</v>
      </c>
      <c r="G65" s="216"/>
      <c r="H65" s="216"/>
      <c r="I65" s="216"/>
      <c r="J65" s="218">
        <f>+F65/4.3</f>
        <v>85053.1257994186</v>
      </c>
      <c r="K65" s="235"/>
      <c r="L65" s="235"/>
      <c r="M65" s="236"/>
      <c r="N65" s="235"/>
      <c r="O65" s="222">
        <f aca="true" t="shared" si="32" ref="O65:O73">+J65*E65*B65</f>
        <v>658311.1936874999</v>
      </c>
      <c r="P65" s="223"/>
      <c r="Q65" s="237"/>
      <c r="R65" s="213"/>
    </row>
    <row r="66" spans="2:18" ht="15" customHeight="1" outlineLevel="1">
      <c r="B66" s="321">
        <v>1</v>
      </c>
      <c r="C66" s="322" t="s">
        <v>589</v>
      </c>
      <c r="D66" s="323">
        <v>0.2</v>
      </c>
      <c r="E66" s="234">
        <f t="shared" si="30"/>
        <v>5.16</v>
      </c>
      <c r="F66" s="216">
        <f t="shared" si="31"/>
        <v>1611444.0817881</v>
      </c>
      <c r="G66" s="216"/>
      <c r="H66" s="216"/>
      <c r="I66" s="216"/>
      <c r="J66" s="218">
        <f aca="true" t="shared" si="33" ref="J66:J72">+F66/4.3</f>
        <v>374754.43762513954</v>
      </c>
      <c r="K66" s="235"/>
      <c r="L66" s="235"/>
      <c r="M66" s="236"/>
      <c r="N66" s="235"/>
      <c r="O66" s="222">
        <f t="shared" si="32"/>
        <v>1933732.8981457201</v>
      </c>
      <c r="Q66" s="237"/>
      <c r="R66" s="213"/>
    </row>
    <row r="67" spans="2:18" ht="15" customHeight="1" outlineLevel="1">
      <c r="B67" s="321">
        <v>1</v>
      </c>
      <c r="C67" s="322" t="s">
        <v>590</v>
      </c>
      <c r="D67" s="323">
        <v>0.4</v>
      </c>
      <c r="E67" s="234">
        <f t="shared" si="30"/>
        <v>10.32</v>
      </c>
      <c r="F67" s="216">
        <f t="shared" si="31"/>
        <v>533877.6630357</v>
      </c>
      <c r="G67" s="216"/>
      <c r="H67" s="216"/>
      <c r="I67" s="216"/>
      <c r="J67" s="218">
        <f t="shared" si="33"/>
        <v>124157.59605481396</v>
      </c>
      <c r="K67" s="235"/>
      <c r="L67" s="235"/>
      <c r="M67" s="236"/>
      <c r="N67" s="235"/>
      <c r="O67" s="222">
        <f t="shared" si="32"/>
        <v>1281306.39128568</v>
      </c>
      <c r="Q67" s="237"/>
      <c r="R67" s="213"/>
    </row>
    <row r="68" spans="2:18" ht="15" customHeight="1" outlineLevel="1">
      <c r="B68" s="321">
        <v>1</v>
      </c>
      <c r="C68" s="322" t="s">
        <v>591</v>
      </c>
      <c r="D68" s="323">
        <v>0.4</v>
      </c>
      <c r="E68" s="234">
        <f t="shared" si="30"/>
        <v>10.32</v>
      </c>
      <c r="F68" s="216">
        <f t="shared" si="31"/>
        <v>18216.6943815</v>
      </c>
      <c r="G68" s="216"/>
      <c r="H68" s="216"/>
      <c r="I68" s="216"/>
      <c r="J68" s="218">
        <f t="shared" si="33"/>
        <v>4236.440553837209</v>
      </c>
      <c r="K68" s="235"/>
      <c r="L68" s="235"/>
      <c r="M68" s="236"/>
      <c r="N68" s="235"/>
      <c r="O68" s="222">
        <f t="shared" si="32"/>
        <v>43720.0665156</v>
      </c>
      <c r="Q68" s="237"/>
      <c r="R68" s="213"/>
    </row>
    <row r="69" spans="2:18" ht="15" customHeight="1" outlineLevel="1">
      <c r="B69" s="321">
        <v>3</v>
      </c>
      <c r="C69" s="322" t="s">
        <v>592</v>
      </c>
      <c r="D69" s="323">
        <v>0.3</v>
      </c>
      <c r="E69" s="234">
        <f t="shared" si="30"/>
        <v>7.739999999999998</v>
      </c>
      <c r="F69" s="216">
        <f t="shared" si="31"/>
        <v>175156.9891893</v>
      </c>
      <c r="G69" s="216"/>
      <c r="H69" s="216"/>
      <c r="I69" s="216"/>
      <c r="J69" s="218">
        <f t="shared" si="33"/>
        <v>40734.18353239535</v>
      </c>
      <c r="K69" s="235"/>
      <c r="L69" s="235"/>
      <c r="M69" s="236"/>
      <c r="N69" s="235"/>
      <c r="O69" s="222">
        <f t="shared" si="32"/>
        <v>945847.7416222198</v>
      </c>
      <c r="P69" s="183"/>
      <c r="Q69" s="942"/>
      <c r="R69" s="943"/>
    </row>
    <row r="70" spans="2:18" ht="15" customHeight="1" outlineLevel="1">
      <c r="B70" s="321">
        <v>0</v>
      </c>
      <c r="C70" s="322" t="s">
        <v>593</v>
      </c>
      <c r="D70" s="323">
        <v>0</v>
      </c>
      <c r="E70" s="234">
        <f t="shared" si="30"/>
        <v>0</v>
      </c>
      <c r="F70" s="216">
        <f t="shared" si="31"/>
        <v>7005.579556500001</v>
      </c>
      <c r="G70" s="216"/>
      <c r="H70" s="216"/>
      <c r="I70" s="216"/>
      <c r="J70" s="218">
        <f t="shared" si="33"/>
        <v>1629.2045480232562</v>
      </c>
      <c r="K70" s="235"/>
      <c r="L70" s="235"/>
      <c r="M70" s="236"/>
      <c r="N70" s="235"/>
      <c r="O70" s="222">
        <f t="shared" si="32"/>
        <v>0</v>
      </c>
      <c r="Q70" s="237"/>
      <c r="R70" s="213"/>
    </row>
    <row r="71" spans="2:18" ht="15.75" customHeight="1" outlineLevel="1">
      <c r="B71" s="321">
        <v>1</v>
      </c>
      <c r="C71" s="322" t="s">
        <v>594</v>
      </c>
      <c r="D71" s="323">
        <v>0.15</v>
      </c>
      <c r="E71" s="234">
        <f t="shared" si="30"/>
        <v>3.869999999999999</v>
      </c>
      <c r="F71" s="216">
        <f t="shared" si="31"/>
        <v>497445.36804</v>
      </c>
      <c r="G71" s="216"/>
      <c r="H71" s="216"/>
      <c r="I71" s="216"/>
      <c r="J71" s="218">
        <f t="shared" si="33"/>
        <v>115684.96931162791</v>
      </c>
      <c r="K71" s="235"/>
      <c r="L71" s="235"/>
      <c r="M71" s="236"/>
      <c r="N71" s="235"/>
      <c r="O71" s="222">
        <f t="shared" si="32"/>
        <v>447700.83123599994</v>
      </c>
      <c r="Q71" s="237"/>
      <c r="R71" s="213"/>
    </row>
    <row r="72" spans="2:17" ht="15" customHeight="1" outlineLevel="1">
      <c r="B72" s="321">
        <v>3</v>
      </c>
      <c r="C72" s="322" t="s">
        <v>595</v>
      </c>
      <c r="D72" s="323">
        <v>0.4</v>
      </c>
      <c r="E72" s="234">
        <f t="shared" si="30"/>
        <v>10.32</v>
      </c>
      <c r="F72" s="216">
        <f t="shared" si="31"/>
        <v>22420.042115400003</v>
      </c>
      <c r="G72" s="216"/>
      <c r="H72" s="216"/>
      <c r="I72" s="216"/>
      <c r="J72" s="218">
        <f t="shared" si="33"/>
        <v>5213.963282651163</v>
      </c>
      <c r="K72" s="235"/>
      <c r="L72" s="235"/>
      <c r="M72" s="889"/>
      <c r="N72" s="235"/>
      <c r="O72" s="222">
        <f t="shared" si="32"/>
        <v>161424.30323088003</v>
      </c>
      <c r="Q72" s="237"/>
    </row>
    <row r="73" spans="2:17" ht="15" customHeight="1" outlineLevel="1">
      <c r="B73" s="321">
        <v>3</v>
      </c>
      <c r="C73" s="322" t="s">
        <v>799</v>
      </c>
      <c r="D73" s="323">
        <v>0.5</v>
      </c>
      <c r="E73" s="234">
        <f>DuracionSemanas*D73</f>
        <v>12.899999999999999</v>
      </c>
      <c r="F73" s="216">
        <f t="shared" si="31"/>
        <v>100000</v>
      </c>
      <c r="G73" s="216"/>
      <c r="H73" s="216"/>
      <c r="I73" s="216"/>
      <c r="J73" s="218">
        <f>+F73/4.3</f>
        <v>23255.813953488374</v>
      </c>
      <c r="K73" s="235"/>
      <c r="L73" s="235"/>
      <c r="M73" s="922"/>
      <c r="N73" s="235"/>
      <c r="O73" s="222">
        <f t="shared" si="32"/>
        <v>900000</v>
      </c>
      <c r="Q73" s="237"/>
    </row>
    <row r="74" spans="2:17" ht="15" customHeight="1" outlineLevel="1">
      <c r="B74" s="890">
        <v>0</v>
      </c>
      <c r="C74" s="891" t="s">
        <v>782</v>
      </c>
      <c r="D74" s="892">
        <v>0</v>
      </c>
      <c r="E74" s="893"/>
      <c r="F74" s="894"/>
      <c r="G74" s="894"/>
      <c r="H74" s="894"/>
      <c r="I74" s="894"/>
      <c r="J74" s="895"/>
      <c r="K74" s="896"/>
      <c r="L74" s="896"/>
      <c r="M74" s="897"/>
      <c r="N74" s="896"/>
      <c r="O74" s="898"/>
      <c r="Q74" s="237"/>
    </row>
    <row r="75" spans="2:17" ht="15" customHeight="1" outlineLevel="1">
      <c r="B75" s="890"/>
      <c r="C75" s="891" t="s">
        <v>783</v>
      </c>
      <c r="D75" s="892">
        <v>0</v>
      </c>
      <c r="E75" s="893"/>
      <c r="F75" s="894"/>
      <c r="G75" s="894"/>
      <c r="H75" s="894"/>
      <c r="I75" s="894"/>
      <c r="J75" s="895"/>
      <c r="K75" s="896"/>
      <c r="L75" s="896"/>
      <c r="M75" s="897"/>
      <c r="N75" s="896"/>
      <c r="O75" s="898"/>
      <c r="Q75" s="237"/>
    </row>
    <row r="76" spans="2:15" ht="15" customHeight="1">
      <c r="B76" s="227"/>
      <c r="C76" s="228"/>
      <c r="D76" s="229">
        <v>0</v>
      </c>
      <c r="E76" s="227"/>
      <c r="F76" s="230"/>
      <c r="G76" s="230"/>
      <c r="H76" s="230"/>
      <c r="I76" s="230"/>
      <c r="J76" s="227"/>
      <c r="K76" s="231"/>
      <c r="L76" s="231"/>
      <c r="M76" s="226"/>
      <c r="N76" s="231"/>
      <c r="O76" s="227"/>
    </row>
    <row r="77" spans="1:248" s="185" customFormat="1" ht="15" customHeight="1">
      <c r="A77" s="319" t="s">
        <v>600</v>
      </c>
      <c r="B77" s="301"/>
      <c r="C77" s="302"/>
      <c r="D77" s="899">
        <v>0</v>
      </c>
      <c r="E77" s="301"/>
      <c r="F77" s="304"/>
      <c r="G77" s="301"/>
      <c r="H77" s="304"/>
      <c r="I77" s="304"/>
      <c r="J77" s="301"/>
      <c r="K77" s="305"/>
      <c r="L77" s="300"/>
      <c r="M77" s="303"/>
      <c r="N77" s="303"/>
      <c r="O77" s="313">
        <f>Equipo</f>
        <v>11766040.508449975</v>
      </c>
      <c r="P77" s="185">
        <f>SUM(TotalEqu)</f>
        <v>11766040.508449975</v>
      </c>
      <c r="Q77" s="214"/>
      <c r="R77" s="213"/>
      <c r="IN77" s="182"/>
    </row>
    <row r="78" spans="1:15" ht="15" customHeight="1">
      <c r="A78" s="226"/>
      <c r="B78" s="321">
        <v>1</v>
      </c>
      <c r="C78" s="322" t="s">
        <v>178</v>
      </c>
      <c r="D78" s="323">
        <v>0.3</v>
      </c>
      <c r="E78" s="234">
        <f aca="true" t="shared" si="34" ref="E78:E84">DuracionSemanas*D78</f>
        <v>7.739999999999998</v>
      </c>
      <c r="F78" s="216">
        <f aca="true" t="shared" si="35" ref="F78:F84">VLOOKUP(C78,$A$218:$B$228,2,FALSE)</f>
        <v>4926659.330691899</v>
      </c>
      <c r="G78" s="216"/>
      <c r="H78" s="216"/>
      <c r="I78" s="216"/>
      <c r="J78" s="218">
        <f aca="true" t="shared" si="36" ref="J78:J84">+F78/4.3</f>
        <v>1145734.7280678835</v>
      </c>
      <c r="K78" s="236"/>
      <c r="L78" s="236"/>
      <c r="M78" s="236"/>
      <c r="N78" s="236"/>
      <c r="O78" s="222">
        <f>+J78*E78*B78</f>
        <v>8867986.795245416</v>
      </c>
    </row>
    <row r="79" spans="2:16" ht="15" customHeight="1" hidden="1">
      <c r="B79" s="321">
        <v>0</v>
      </c>
      <c r="C79" s="322" t="s">
        <v>179</v>
      </c>
      <c r="D79" s="323">
        <v>0</v>
      </c>
      <c r="E79" s="234">
        <f t="shared" si="34"/>
        <v>0</v>
      </c>
      <c r="F79" s="216">
        <f t="shared" si="35"/>
        <v>5747770.1306133</v>
      </c>
      <c r="G79" s="216"/>
      <c r="H79" s="216"/>
      <c r="I79" s="216"/>
      <c r="J79" s="218">
        <f t="shared" si="36"/>
        <v>1336690.7280496047</v>
      </c>
      <c r="K79" s="236"/>
      <c r="L79" s="236"/>
      <c r="M79" s="236"/>
      <c r="N79" s="236"/>
      <c r="O79" s="222">
        <f aca="true" t="shared" si="37" ref="O79:O84">+J79*E79*B79</f>
        <v>0</v>
      </c>
      <c r="P79" s="183"/>
    </row>
    <row r="80" spans="2:15" ht="15" customHeight="1">
      <c r="B80" s="321">
        <v>1</v>
      </c>
      <c r="C80" s="322" t="s">
        <v>89</v>
      </c>
      <c r="D80" s="323">
        <v>0.15</v>
      </c>
      <c r="E80" s="234">
        <f t="shared" si="34"/>
        <v>3.869999999999999</v>
      </c>
      <c r="F80" s="216">
        <f t="shared" si="35"/>
        <v>3220059.6813384</v>
      </c>
      <c r="G80" s="216"/>
      <c r="H80" s="216"/>
      <c r="I80" s="216"/>
      <c r="J80" s="218">
        <f t="shared" si="36"/>
        <v>748851.0886833488</v>
      </c>
      <c r="K80" s="236"/>
      <c r="L80" s="236"/>
      <c r="M80" s="236"/>
      <c r="N80" s="236"/>
      <c r="O80" s="222">
        <f t="shared" si="37"/>
        <v>2898053.7132045594</v>
      </c>
    </row>
    <row r="81" spans="2:15" ht="15" customHeight="1" outlineLevel="1">
      <c r="B81" s="321">
        <v>0</v>
      </c>
      <c r="C81" s="322" t="s">
        <v>88</v>
      </c>
      <c r="D81" s="323">
        <v>0</v>
      </c>
      <c r="E81" s="234">
        <f t="shared" si="34"/>
        <v>0</v>
      </c>
      <c r="F81" s="216">
        <f t="shared" si="35"/>
        <v>0</v>
      </c>
      <c r="G81" s="216"/>
      <c r="H81" s="216"/>
      <c r="I81" s="216"/>
      <c r="J81" s="218">
        <f t="shared" si="36"/>
        <v>0</v>
      </c>
      <c r="K81" s="236"/>
      <c r="L81" s="236"/>
      <c r="M81" s="236"/>
      <c r="N81" s="236"/>
      <c r="O81" s="222">
        <f t="shared" si="37"/>
        <v>0</v>
      </c>
    </row>
    <row r="82" spans="2:15" ht="15" customHeight="1" outlineLevel="1">
      <c r="B82" s="321">
        <v>0</v>
      </c>
      <c r="C82" s="322" t="s">
        <v>98</v>
      </c>
      <c r="D82" s="323">
        <v>0</v>
      </c>
      <c r="E82" s="234">
        <f t="shared" si="34"/>
        <v>0</v>
      </c>
      <c r="F82" s="216">
        <f t="shared" si="35"/>
        <v>2293446.2751936</v>
      </c>
      <c r="G82" s="216"/>
      <c r="H82" s="216"/>
      <c r="I82" s="216"/>
      <c r="J82" s="218">
        <f t="shared" si="36"/>
        <v>533359.5988822326</v>
      </c>
      <c r="K82" s="236"/>
      <c r="L82" s="236"/>
      <c r="M82" s="236"/>
      <c r="N82" s="236"/>
      <c r="O82" s="222">
        <f t="shared" si="37"/>
        <v>0</v>
      </c>
    </row>
    <row r="83" spans="2:15" ht="15" customHeight="1" outlineLevel="1">
      <c r="B83" s="321">
        <v>0</v>
      </c>
      <c r="C83" s="322" t="s">
        <v>691</v>
      </c>
      <c r="D83" s="323">
        <v>0</v>
      </c>
      <c r="E83" s="234">
        <f t="shared" si="34"/>
        <v>0</v>
      </c>
      <c r="F83" s="216">
        <f t="shared" si="35"/>
        <v>9535257.693147598</v>
      </c>
      <c r="G83" s="216"/>
      <c r="H83" s="216"/>
      <c r="I83" s="216"/>
      <c r="J83" s="218">
        <f t="shared" si="36"/>
        <v>2217501.7891040924</v>
      </c>
      <c r="K83" s="236"/>
      <c r="L83" s="236"/>
      <c r="M83" s="236"/>
      <c r="N83" s="236"/>
      <c r="O83" s="222">
        <f t="shared" si="37"/>
        <v>0</v>
      </c>
    </row>
    <row r="84" spans="2:15" ht="15" customHeight="1" outlineLevel="1">
      <c r="B84" s="321">
        <v>0</v>
      </c>
      <c r="C84" s="322" t="s">
        <v>98</v>
      </c>
      <c r="D84" s="323">
        <v>0</v>
      </c>
      <c r="E84" s="234">
        <f t="shared" si="34"/>
        <v>0</v>
      </c>
      <c r="F84" s="216">
        <f t="shared" si="35"/>
        <v>2293446.2751936</v>
      </c>
      <c r="G84" s="216"/>
      <c r="H84" s="216"/>
      <c r="I84" s="216"/>
      <c r="J84" s="218">
        <f t="shared" si="36"/>
        <v>533359.5988822326</v>
      </c>
      <c r="K84" s="236"/>
      <c r="L84" s="236"/>
      <c r="M84" s="236"/>
      <c r="N84" s="236"/>
      <c r="O84" s="222">
        <f t="shared" si="37"/>
        <v>0</v>
      </c>
    </row>
    <row r="85" spans="2:15" ht="15" customHeight="1" outlineLevel="1">
      <c r="B85" s="238"/>
      <c r="C85" s="239"/>
      <c r="D85" s="240"/>
      <c r="E85" s="241"/>
      <c r="F85" s="230"/>
      <c r="G85" s="230"/>
      <c r="H85" s="230"/>
      <c r="I85" s="230"/>
      <c r="J85" s="227"/>
      <c r="K85" s="226"/>
      <c r="L85" s="226"/>
      <c r="M85" s="226"/>
      <c r="N85" s="226"/>
      <c r="O85" s="227"/>
    </row>
    <row r="86" spans="2:15" ht="15" customHeight="1">
      <c r="B86" s="242">
        <v>0</v>
      </c>
      <c r="C86" s="228"/>
      <c r="D86" s="243" t="s">
        <v>655</v>
      </c>
      <c r="E86" s="227"/>
      <c r="F86" s="230"/>
      <c r="G86" s="230"/>
      <c r="H86" s="230"/>
      <c r="I86" s="230"/>
      <c r="J86" s="227">
        <v>0</v>
      </c>
      <c r="K86" s="226"/>
      <c r="L86" s="226"/>
      <c r="M86" s="226"/>
      <c r="N86" s="226"/>
      <c r="O86" s="227"/>
    </row>
    <row r="87" spans="1:248" s="185" customFormat="1" ht="15" customHeight="1">
      <c r="A87" s="319" t="s">
        <v>601</v>
      </c>
      <c r="B87" s="301">
        <v>0</v>
      </c>
      <c r="C87" s="302"/>
      <c r="D87" s="303" t="s">
        <v>656</v>
      </c>
      <c r="E87" s="311"/>
      <c r="F87" s="313"/>
      <c r="G87" s="313"/>
      <c r="H87" s="313"/>
      <c r="I87" s="313"/>
      <c r="J87" s="313">
        <v>0</v>
      </c>
      <c r="K87" s="314"/>
      <c r="L87" s="314"/>
      <c r="M87" s="314"/>
      <c r="N87" s="314"/>
      <c r="O87" s="313">
        <f>Tramite</f>
        <v>0</v>
      </c>
      <c r="P87" s="185">
        <f>SUM(TotalTram)</f>
        <v>0</v>
      </c>
      <c r="Q87" s="214"/>
      <c r="R87" s="213"/>
      <c r="IN87" s="182"/>
    </row>
    <row r="88" spans="1:18" ht="15" customHeight="1">
      <c r="A88" s="226"/>
      <c r="B88" s="321">
        <v>0</v>
      </c>
      <c r="C88" s="322" t="s">
        <v>88</v>
      </c>
      <c r="D88" s="219"/>
      <c r="E88" s="222"/>
      <c r="F88" s="254"/>
      <c r="G88" s="254"/>
      <c r="H88" s="254"/>
      <c r="I88" s="254"/>
      <c r="J88" s="326">
        <v>0</v>
      </c>
      <c r="K88" s="312"/>
      <c r="L88" s="312"/>
      <c r="M88" s="312"/>
      <c r="N88" s="312"/>
      <c r="O88" s="254">
        <f>+J88*B88</f>
        <v>0</v>
      </c>
      <c r="R88" s="213"/>
    </row>
    <row r="89" spans="2:18" ht="15" customHeight="1">
      <c r="B89" s="321">
        <v>0</v>
      </c>
      <c r="C89" s="322" t="s">
        <v>280</v>
      </c>
      <c r="D89" s="219"/>
      <c r="E89" s="222"/>
      <c r="F89" s="222"/>
      <c r="G89" s="222"/>
      <c r="H89" s="222"/>
      <c r="I89" s="222"/>
      <c r="J89" s="320"/>
      <c r="K89" s="236"/>
      <c r="L89" s="236"/>
      <c r="M89" s="236"/>
      <c r="N89" s="236"/>
      <c r="O89" s="222">
        <f>+J89*B89</f>
        <v>0</v>
      </c>
      <c r="R89" s="213"/>
    </row>
    <row r="90" spans="2:18" ht="15" customHeight="1">
      <c r="B90" s="324">
        <v>0</v>
      </c>
      <c r="C90" s="325" t="s">
        <v>281</v>
      </c>
      <c r="D90" s="229"/>
      <c r="E90" s="227"/>
      <c r="F90" s="227"/>
      <c r="G90" s="227"/>
      <c r="H90" s="227"/>
      <c r="I90" s="227"/>
      <c r="J90" s="327">
        <v>0</v>
      </c>
      <c r="K90" s="226"/>
      <c r="L90" s="226"/>
      <c r="M90" s="226"/>
      <c r="N90" s="226"/>
      <c r="O90" s="227">
        <f>+J90*B90</f>
        <v>0</v>
      </c>
      <c r="R90" s="213"/>
    </row>
    <row r="91" spans="2:18" ht="15" customHeight="1">
      <c r="B91" s="238"/>
      <c r="C91" s="239"/>
      <c r="D91" s="240"/>
      <c r="E91" s="241"/>
      <c r="F91" s="230"/>
      <c r="G91" s="230"/>
      <c r="H91" s="230"/>
      <c r="I91" s="230"/>
      <c r="J91" s="227">
        <v>0</v>
      </c>
      <c r="K91" s="226"/>
      <c r="L91" s="226"/>
      <c r="M91" s="226"/>
      <c r="N91" s="226"/>
      <c r="O91" s="227"/>
      <c r="R91" s="213"/>
    </row>
    <row r="92" spans="2:10" ht="15" customHeight="1">
      <c r="B92" s="244">
        <v>0</v>
      </c>
      <c r="D92" s="245"/>
      <c r="F92" s="246"/>
      <c r="G92" s="246"/>
      <c r="H92" s="246"/>
      <c r="I92" s="246"/>
      <c r="J92" s="244">
        <v>0</v>
      </c>
    </row>
    <row r="93" spans="1:248" s="185" customFormat="1" ht="15" customHeight="1">
      <c r="A93" s="319" t="s">
        <v>602</v>
      </c>
      <c r="B93" s="301">
        <v>0</v>
      </c>
      <c r="C93" s="302"/>
      <c r="D93" s="303" t="s">
        <v>652</v>
      </c>
      <c r="E93" s="301"/>
      <c r="F93" s="313"/>
      <c r="G93" s="313"/>
      <c r="H93" s="313"/>
      <c r="I93" s="313"/>
      <c r="J93" s="313">
        <v>0</v>
      </c>
      <c r="K93" s="314"/>
      <c r="L93" s="314"/>
      <c r="M93" s="314"/>
      <c r="N93" s="314"/>
      <c r="O93" s="313">
        <f>Viajes</f>
        <v>8462025</v>
      </c>
      <c r="P93" s="185">
        <f>SUM(TotalVia)</f>
        <v>8462025</v>
      </c>
      <c r="Q93" s="214"/>
      <c r="R93" s="213"/>
      <c r="IN93" s="182"/>
    </row>
    <row r="94" spans="1:15" ht="15" customHeight="1" outlineLevel="1">
      <c r="A94" s="226"/>
      <c r="B94" s="321">
        <v>9</v>
      </c>
      <c r="C94" s="322" t="s">
        <v>114</v>
      </c>
      <c r="D94" s="247" t="s">
        <v>805</v>
      </c>
      <c r="E94" s="248"/>
      <c r="F94" s="248"/>
      <c r="G94" s="222"/>
      <c r="H94" s="222"/>
      <c r="I94" s="222"/>
      <c r="J94" s="320">
        <v>640225</v>
      </c>
      <c r="K94" s="236"/>
      <c r="L94" s="236"/>
      <c r="M94" s="236"/>
      <c r="N94" s="236"/>
      <c r="O94" s="222">
        <f>+J94*B94</f>
        <v>5762025</v>
      </c>
    </row>
    <row r="95" spans="2:15" ht="15" customHeight="1" outlineLevel="1">
      <c r="B95" s="321">
        <v>9</v>
      </c>
      <c r="C95" s="322" t="s">
        <v>118</v>
      </c>
      <c r="D95" s="247"/>
      <c r="E95" s="248"/>
      <c r="F95" s="248"/>
      <c r="G95" s="222"/>
      <c r="H95" s="222"/>
      <c r="I95" s="222"/>
      <c r="J95" s="320">
        <v>200000</v>
      </c>
      <c r="K95" s="236"/>
      <c r="L95" s="236"/>
      <c r="M95" s="236"/>
      <c r="N95" s="236"/>
      <c r="O95" s="222">
        <f>+J95*B95</f>
        <v>1800000</v>
      </c>
    </row>
    <row r="96" spans="2:15" ht="15" customHeight="1" outlineLevel="2">
      <c r="B96" s="321">
        <v>9</v>
      </c>
      <c r="C96" s="322" t="s">
        <v>115</v>
      </c>
      <c r="D96" s="247" t="s">
        <v>807</v>
      </c>
      <c r="E96" s="248"/>
      <c r="F96" s="248"/>
      <c r="G96" s="222"/>
      <c r="H96" s="222"/>
      <c r="I96" s="222"/>
      <c r="J96" s="320">
        <v>100000</v>
      </c>
      <c r="K96" s="236"/>
      <c r="L96" s="236"/>
      <c r="M96" s="236"/>
      <c r="N96" s="236"/>
      <c r="O96" s="222">
        <f>+J96*B96</f>
        <v>900000</v>
      </c>
    </row>
    <row r="97" spans="2:15" ht="15" customHeight="1" outlineLevel="2">
      <c r="B97" s="321">
        <v>0</v>
      </c>
      <c r="C97" s="322" t="s">
        <v>117</v>
      </c>
      <c r="D97" s="247"/>
      <c r="E97" s="248"/>
      <c r="F97" s="248"/>
      <c r="G97" s="222"/>
      <c r="H97" s="222"/>
      <c r="I97" s="222"/>
      <c r="J97" s="320">
        <v>0</v>
      </c>
      <c r="K97" s="236"/>
      <c r="L97" s="236"/>
      <c r="M97" s="236"/>
      <c r="N97" s="236"/>
      <c r="O97" s="222">
        <f>+J97*B97</f>
        <v>0</v>
      </c>
    </row>
    <row r="98" spans="2:16" ht="15" customHeight="1">
      <c r="B98" s="321">
        <v>0</v>
      </c>
      <c r="C98" s="322" t="s">
        <v>118</v>
      </c>
      <c r="D98" s="247"/>
      <c r="E98" s="248"/>
      <c r="F98" s="248"/>
      <c r="G98" s="222"/>
      <c r="H98" s="222"/>
      <c r="I98" s="222"/>
      <c r="J98" s="320">
        <v>0</v>
      </c>
      <c r="K98" s="236"/>
      <c r="L98" s="236"/>
      <c r="M98" s="236"/>
      <c r="N98" s="236"/>
      <c r="O98" s="222">
        <f>+J98*B98</f>
        <v>0</v>
      </c>
      <c r="P98" s="183"/>
    </row>
    <row r="99" spans="2:16" ht="15" customHeight="1">
      <c r="B99" s="238"/>
      <c r="C99" s="238"/>
      <c r="D99" s="238"/>
      <c r="E99" s="238"/>
      <c r="F99" s="238"/>
      <c r="G99" s="238"/>
      <c r="H99" s="238"/>
      <c r="I99" s="238"/>
      <c r="J99" s="238"/>
      <c r="K99" s="238"/>
      <c r="L99" s="238"/>
      <c r="M99" s="238"/>
      <c r="N99" s="238"/>
      <c r="O99" s="238"/>
      <c r="P99" s="183"/>
    </row>
    <row r="100" spans="2:15" ht="15" customHeight="1">
      <c r="B100" s="249">
        <v>0</v>
      </c>
      <c r="C100" s="228"/>
      <c r="D100" s="229"/>
      <c r="E100" s="227"/>
      <c r="F100" s="230"/>
      <c r="G100" s="230"/>
      <c r="H100" s="230"/>
      <c r="I100" s="230"/>
      <c r="J100" s="249" t="s">
        <v>657</v>
      </c>
      <c r="K100" s="226"/>
      <c r="L100" s="226"/>
      <c r="M100" s="226"/>
      <c r="N100" s="226"/>
      <c r="O100" s="227"/>
    </row>
    <row r="101" spans="1:248" s="185" customFormat="1" ht="15" customHeight="1">
      <c r="A101" s="319" t="s">
        <v>603</v>
      </c>
      <c r="B101" s="311">
        <v>0</v>
      </c>
      <c r="C101" s="328"/>
      <c r="D101" s="314"/>
      <c r="E101" s="313"/>
      <c r="F101" s="313"/>
      <c r="G101" s="313"/>
      <c r="H101" s="313"/>
      <c r="I101" s="313"/>
      <c r="J101" s="313"/>
      <c r="K101" s="314"/>
      <c r="L101" s="314"/>
      <c r="M101" s="314"/>
      <c r="N101" s="314"/>
      <c r="O101" s="313">
        <f>Ensayos</f>
        <v>5233034.489094899</v>
      </c>
      <c r="P101" s="185">
        <f>SUM(TotalEns)</f>
        <v>5233034.489094899</v>
      </c>
      <c r="Q101" s="214"/>
      <c r="R101" s="213"/>
      <c r="IN101" s="182"/>
    </row>
    <row r="102" spans="1:15" ht="12.75">
      <c r="A102" s="226"/>
      <c r="B102" s="321">
        <v>3</v>
      </c>
      <c r="C102" s="331" t="s">
        <v>431</v>
      </c>
      <c r="D102" s="332"/>
      <c r="E102" s="333"/>
      <c r="F102" s="333"/>
      <c r="G102" s="254"/>
      <c r="H102" s="254"/>
      <c r="I102" s="254"/>
      <c r="J102" s="256">
        <f>VLOOKUP(C102,$A$231:$B$261,2,0)</f>
        <v>513795.0016404</v>
      </c>
      <c r="K102" s="312"/>
      <c r="L102" s="312"/>
      <c r="M102" s="312"/>
      <c r="N102" s="312"/>
      <c r="O102" s="254">
        <f aca="true" t="shared" si="38" ref="O102:O121">+J102*B102</f>
        <v>1541385.0049212</v>
      </c>
    </row>
    <row r="103" spans="2:15" ht="12.75">
      <c r="B103" s="321">
        <v>5</v>
      </c>
      <c r="C103" s="330" t="s">
        <v>307</v>
      </c>
      <c r="D103" s="219"/>
      <c r="E103" s="222"/>
      <c r="F103" s="222"/>
      <c r="G103" s="222"/>
      <c r="H103" s="222"/>
      <c r="I103" s="222"/>
      <c r="J103" s="218">
        <f aca="true" t="shared" si="39" ref="J103:J121">VLOOKUP(C103,$A$231:$B$261,2,0)</f>
        <v>73857.73069979998</v>
      </c>
      <c r="K103" s="236"/>
      <c r="L103" s="236"/>
      <c r="M103" s="236"/>
      <c r="N103" s="236"/>
      <c r="O103" s="222">
        <f t="shared" si="38"/>
        <v>369288.6534989999</v>
      </c>
    </row>
    <row r="104" spans="2:15" ht="12.75">
      <c r="B104" s="321">
        <v>5</v>
      </c>
      <c r="C104" s="330" t="s">
        <v>316</v>
      </c>
      <c r="D104" s="219"/>
      <c r="E104" s="222"/>
      <c r="F104" s="222"/>
      <c r="G104" s="222"/>
      <c r="H104" s="222"/>
      <c r="I104" s="222"/>
      <c r="J104" s="218">
        <f t="shared" si="39"/>
        <v>208729.0826955</v>
      </c>
      <c r="K104" s="236"/>
      <c r="L104" s="236"/>
      <c r="M104" s="236"/>
      <c r="N104" s="236"/>
      <c r="O104" s="222">
        <f t="shared" si="38"/>
        <v>1043645.4134775</v>
      </c>
    </row>
    <row r="105" spans="2:15" ht="12.75">
      <c r="B105" s="321">
        <v>2</v>
      </c>
      <c r="C105" s="330" t="s">
        <v>382</v>
      </c>
      <c r="D105" s="219"/>
      <c r="E105" s="222"/>
      <c r="F105" s="222"/>
      <c r="G105" s="222"/>
      <c r="H105" s="222"/>
      <c r="I105" s="222"/>
      <c r="J105" s="218">
        <f t="shared" si="39"/>
        <v>83491.6330782</v>
      </c>
      <c r="K105" s="236"/>
      <c r="L105" s="236"/>
      <c r="M105" s="236"/>
      <c r="N105" s="236"/>
      <c r="O105" s="222">
        <f t="shared" si="38"/>
        <v>166983.2661564</v>
      </c>
    </row>
    <row r="106" spans="2:15" ht="12.75">
      <c r="B106" s="321">
        <v>10</v>
      </c>
      <c r="C106" s="330" t="s">
        <v>754</v>
      </c>
      <c r="D106" s="219"/>
      <c r="E106" s="222"/>
      <c r="F106" s="222"/>
      <c r="G106" s="222"/>
      <c r="H106" s="222"/>
      <c r="I106" s="222"/>
      <c r="J106" s="218">
        <f t="shared" si="39"/>
        <v>5779.4664132</v>
      </c>
      <c r="K106" s="236"/>
      <c r="L106" s="236"/>
      <c r="M106" s="236"/>
      <c r="N106" s="236"/>
      <c r="O106" s="222">
        <f t="shared" si="38"/>
        <v>57794.664132</v>
      </c>
    </row>
    <row r="107" spans="2:15" ht="12.75">
      <c r="B107" s="321">
        <v>4</v>
      </c>
      <c r="C107" s="330" t="s">
        <v>236</v>
      </c>
      <c r="D107" s="219"/>
      <c r="E107" s="222"/>
      <c r="F107" s="222"/>
      <c r="G107" s="222"/>
      <c r="H107" s="222"/>
      <c r="I107" s="222"/>
      <c r="J107" s="218">
        <f t="shared" si="39"/>
        <v>216965.1504645</v>
      </c>
      <c r="K107" s="236"/>
      <c r="L107" s="236"/>
      <c r="M107" s="236"/>
      <c r="N107" s="236"/>
      <c r="O107" s="222">
        <f t="shared" si="38"/>
        <v>867860.601858</v>
      </c>
    </row>
    <row r="108" spans="2:15" ht="12.75">
      <c r="B108" s="321">
        <v>4</v>
      </c>
      <c r="C108" s="330" t="s">
        <v>237</v>
      </c>
      <c r="D108" s="219"/>
      <c r="E108" s="222"/>
      <c r="F108" s="222"/>
      <c r="G108" s="222"/>
      <c r="H108" s="222"/>
      <c r="I108" s="222"/>
      <c r="J108" s="218">
        <f t="shared" si="39"/>
        <v>151876.15220879996</v>
      </c>
      <c r="K108" s="236"/>
      <c r="L108" s="236"/>
      <c r="M108" s="236"/>
      <c r="N108" s="236"/>
      <c r="O108" s="222">
        <f t="shared" si="38"/>
        <v>607504.6088351998</v>
      </c>
    </row>
    <row r="109" spans="2:15" ht="12.75" outlineLevel="1">
      <c r="B109" s="321">
        <v>4</v>
      </c>
      <c r="C109" s="330" t="s">
        <v>238</v>
      </c>
      <c r="D109" s="219"/>
      <c r="E109" s="222"/>
      <c r="F109" s="222"/>
      <c r="G109" s="222"/>
      <c r="H109" s="222"/>
      <c r="I109" s="222"/>
      <c r="J109" s="218">
        <f t="shared" si="39"/>
        <v>60750.023376599995</v>
      </c>
      <c r="K109" s="236"/>
      <c r="L109" s="236"/>
      <c r="M109" s="236"/>
      <c r="N109" s="236"/>
      <c r="O109" s="222">
        <f t="shared" si="38"/>
        <v>243000.09350639998</v>
      </c>
    </row>
    <row r="110" spans="2:15" ht="12.75" outlineLevel="1">
      <c r="B110" s="321">
        <v>4</v>
      </c>
      <c r="C110" s="330" t="s">
        <v>239</v>
      </c>
      <c r="D110" s="219"/>
      <c r="E110" s="222"/>
      <c r="F110" s="222"/>
      <c r="G110" s="222"/>
      <c r="H110" s="222"/>
      <c r="I110" s="222"/>
      <c r="J110" s="218">
        <f t="shared" si="39"/>
        <v>67983.1065315</v>
      </c>
      <c r="K110" s="236"/>
      <c r="L110" s="236"/>
      <c r="M110" s="236"/>
      <c r="N110" s="236"/>
      <c r="O110" s="222">
        <f t="shared" si="38"/>
        <v>271932.426126</v>
      </c>
    </row>
    <row r="111" spans="2:15" ht="12.75" outlineLevel="1">
      <c r="B111" s="321">
        <v>4</v>
      </c>
      <c r="C111" s="330" t="s">
        <v>241</v>
      </c>
      <c r="D111" s="219"/>
      <c r="E111" s="222"/>
      <c r="F111" s="222"/>
      <c r="G111" s="222"/>
      <c r="H111" s="222"/>
      <c r="I111" s="222"/>
      <c r="J111" s="218">
        <f t="shared" si="39"/>
        <v>15909.939145800001</v>
      </c>
      <c r="K111" s="236"/>
      <c r="L111" s="236"/>
      <c r="M111" s="236"/>
      <c r="N111" s="236"/>
      <c r="O111" s="222">
        <f t="shared" si="38"/>
        <v>63639.756583200004</v>
      </c>
    </row>
    <row r="112" spans="2:15" ht="12.75" outlineLevel="1">
      <c r="B112" s="321">
        <v>0</v>
      </c>
      <c r="C112" s="330" t="s">
        <v>329</v>
      </c>
      <c r="D112" s="219"/>
      <c r="E112" s="222"/>
      <c r="F112" s="222"/>
      <c r="G112" s="222"/>
      <c r="H112" s="222"/>
      <c r="I112" s="222"/>
      <c r="J112" s="218">
        <f t="shared" si="39"/>
        <v>337177.83310560003</v>
      </c>
      <c r="K112" s="236"/>
      <c r="L112" s="236"/>
      <c r="M112" s="236"/>
      <c r="N112" s="236"/>
      <c r="O112" s="222">
        <f t="shared" si="38"/>
        <v>0</v>
      </c>
    </row>
    <row r="113" spans="2:15" ht="12.75" outlineLevel="1">
      <c r="B113" s="321">
        <v>0</v>
      </c>
      <c r="C113" s="330" t="s">
        <v>296</v>
      </c>
      <c r="D113" s="219"/>
      <c r="E113" s="222"/>
      <c r="F113" s="222"/>
      <c r="G113" s="222"/>
      <c r="H113" s="222"/>
      <c r="I113" s="222"/>
      <c r="J113" s="218">
        <f t="shared" si="39"/>
        <v>38534.5157463</v>
      </c>
      <c r="K113" s="236"/>
      <c r="L113" s="236"/>
      <c r="M113" s="236"/>
      <c r="N113" s="236"/>
      <c r="O113" s="222">
        <f t="shared" si="38"/>
        <v>0</v>
      </c>
    </row>
    <row r="114" spans="2:17" ht="12.75" outlineLevel="1">
      <c r="B114" s="321">
        <v>0</v>
      </c>
      <c r="C114" s="330" t="s">
        <v>238</v>
      </c>
      <c r="D114" s="219"/>
      <c r="E114" s="222"/>
      <c r="F114" s="222"/>
      <c r="G114" s="222"/>
      <c r="H114" s="222"/>
      <c r="I114" s="222"/>
      <c r="J114" s="218">
        <f t="shared" si="39"/>
        <v>60750.023376599995</v>
      </c>
      <c r="K114" s="236"/>
      <c r="L114" s="236"/>
      <c r="M114" s="236"/>
      <c r="N114" s="236"/>
      <c r="O114" s="222">
        <f t="shared" si="38"/>
        <v>0</v>
      </c>
      <c r="Q114" s="250"/>
    </row>
    <row r="115" spans="2:15" ht="12.75" outlineLevel="1">
      <c r="B115" s="321">
        <v>0</v>
      </c>
      <c r="C115" s="330" t="s">
        <v>382</v>
      </c>
      <c r="D115" s="219"/>
      <c r="E115" s="222"/>
      <c r="F115" s="222"/>
      <c r="G115" s="222"/>
      <c r="H115" s="222"/>
      <c r="I115" s="222"/>
      <c r="J115" s="218">
        <f t="shared" si="39"/>
        <v>83491.6330782</v>
      </c>
      <c r="K115" s="236"/>
      <c r="L115" s="236"/>
      <c r="M115" s="236"/>
      <c r="N115" s="236"/>
      <c r="O115" s="222">
        <f t="shared" si="38"/>
        <v>0</v>
      </c>
    </row>
    <row r="116" spans="2:15" ht="12.75" outlineLevel="1">
      <c r="B116" s="321">
        <v>0</v>
      </c>
      <c r="C116" s="330" t="s">
        <v>382</v>
      </c>
      <c r="D116" s="219"/>
      <c r="E116" s="222"/>
      <c r="F116" s="222"/>
      <c r="G116" s="222"/>
      <c r="H116" s="222"/>
      <c r="I116" s="222"/>
      <c r="J116" s="218">
        <f t="shared" si="39"/>
        <v>83491.6330782</v>
      </c>
      <c r="K116" s="236"/>
      <c r="L116" s="236"/>
      <c r="M116" s="236"/>
      <c r="N116" s="236"/>
      <c r="O116" s="222">
        <f t="shared" si="38"/>
        <v>0</v>
      </c>
    </row>
    <row r="117" spans="2:15" ht="12.75" outlineLevel="1">
      <c r="B117" s="321">
        <v>0</v>
      </c>
      <c r="C117" s="330" t="s">
        <v>236</v>
      </c>
      <c r="D117" s="219"/>
      <c r="E117" s="222"/>
      <c r="F117" s="222"/>
      <c r="G117" s="222"/>
      <c r="H117" s="222"/>
      <c r="I117" s="222"/>
      <c r="J117" s="218">
        <f t="shared" si="39"/>
        <v>216965.1504645</v>
      </c>
      <c r="K117" s="236"/>
      <c r="L117" s="236"/>
      <c r="M117" s="236"/>
      <c r="N117" s="236"/>
      <c r="O117" s="222">
        <f t="shared" si="38"/>
        <v>0</v>
      </c>
    </row>
    <row r="118" spans="2:15" ht="12.75" outlineLevel="1">
      <c r="B118" s="321">
        <v>0</v>
      </c>
      <c r="C118" s="330" t="s">
        <v>240</v>
      </c>
      <c r="D118" s="219"/>
      <c r="E118" s="222"/>
      <c r="F118" s="222"/>
      <c r="G118" s="222"/>
      <c r="H118" s="222"/>
      <c r="I118" s="222"/>
      <c r="J118" s="218">
        <f t="shared" si="39"/>
        <v>376072.1982936</v>
      </c>
      <c r="K118" s="236"/>
      <c r="L118" s="236"/>
      <c r="M118" s="236"/>
      <c r="N118" s="236"/>
      <c r="O118" s="222">
        <f t="shared" si="38"/>
        <v>0</v>
      </c>
    </row>
    <row r="119" spans="2:15" ht="12.75" outlineLevel="1">
      <c r="B119" s="321">
        <v>0</v>
      </c>
      <c r="C119" s="330" t="s">
        <v>239</v>
      </c>
      <c r="D119" s="219"/>
      <c r="E119" s="222"/>
      <c r="F119" s="222"/>
      <c r="G119" s="222"/>
      <c r="H119" s="222"/>
      <c r="I119" s="222"/>
      <c r="J119" s="218">
        <f t="shared" si="39"/>
        <v>67983.1065315</v>
      </c>
      <c r="K119" s="236"/>
      <c r="L119" s="236"/>
      <c r="M119" s="236"/>
      <c r="N119" s="236"/>
      <c r="O119" s="222">
        <f t="shared" si="38"/>
        <v>0</v>
      </c>
    </row>
    <row r="120" spans="2:15" ht="12.75" outlineLevel="1">
      <c r="B120" s="321">
        <v>0</v>
      </c>
      <c r="C120" s="330" t="s">
        <v>241</v>
      </c>
      <c r="D120" s="219"/>
      <c r="E120" s="222"/>
      <c r="F120" s="222"/>
      <c r="G120" s="222"/>
      <c r="H120" s="222"/>
      <c r="I120" s="222"/>
      <c r="J120" s="218">
        <f t="shared" si="39"/>
        <v>15909.939145800001</v>
      </c>
      <c r="K120" s="236"/>
      <c r="L120" s="236"/>
      <c r="M120" s="236"/>
      <c r="N120" s="236"/>
      <c r="O120" s="222">
        <f t="shared" si="38"/>
        <v>0</v>
      </c>
    </row>
    <row r="121" spans="2:15" ht="12.75" outlineLevel="1">
      <c r="B121" s="321">
        <v>0</v>
      </c>
      <c r="C121" s="330" t="s">
        <v>382</v>
      </c>
      <c r="D121" s="219"/>
      <c r="E121" s="222"/>
      <c r="F121" s="222"/>
      <c r="G121" s="222"/>
      <c r="H121" s="222"/>
      <c r="I121" s="222"/>
      <c r="J121" s="218">
        <f t="shared" si="39"/>
        <v>83491.6330782</v>
      </c>
      <c r="K121" s="236"/>
      <c r="L121" s="236"/>
      <c r="M121" s="236"/>
      <c r="N121" s="236"/>
      <c r="O121" s="222">
        <f t="shared" si="38"/>
        <v>0</v>
      </c>
    </row>
    <row r="122" spans="2:15" ht="12.75" outlineLevel="1">
      <c r="B122" s="238"/>
      <c r="C122" s="329"/>
      <c r="D122" s="240"/>
      <c r="E122" s="241"/>
      <c r="F122" s="230"/>
      <c r="G122" s="230"/>
      <c r="H122" s="230"/>
      <c r="I122" s="230"/>
      <c r="J122" s="227"/>
      <c r="K122" s="226"/>
      <c r="L122" s="226"/>
      <c r="M122" s="226"/>
      <c r="N122" s="226"/>
      <c r="O122" s="227"/>
    </row>
    <row r="123" spans="2:10" ht="12.75">
      <c r="B123" s="249">
        <v>0</v>
      </c>
      <c r="D123" s="245"/>
      <c r="F123" s="227"/>
      <c r="J123" s="249" t="s">
        <v>670</v>
      </c>
    </row>
    <row r="124" spans="1:248" s="185" customFormat="1" ht="15" customHeight="1">
      <c r="A124" s="546" t="s">
        <v>610</v>
      </c>
      <c r="B124" s="334">
        <v>0</v>
      </c>
      <c r="C124" s="328"/>
      <c r="D124" s="314"/>
      <c r="E124" s="313"/>
      <c r="F124" s="313"/>
      <c r="G124" s="313"/>
      <c r="H124" s="313"/>
      <c r="I124" s="313"/>
      <c r="J124" s="313"/>
      <c r="K124" s="314"/>
      <c r="L124" s="314"/>
      <c r="M124" s="314"/>
      <c r="N124" s="314"/>
      <c r="O124" s="313">
        <f>Campamento</f>
        <v>0</v>
      </c>
      <c r="P124" s="185">
        <f>SUM(TotalCam)</f>
        <v>0</v>
      </c>
      <c r="Q124" s="214"/>
      <c r="R124" s="213"/>
      <c r="IN124" s="182"/>
    </row>
    <row r="125" spans="2:16" ht="12.75">
      <c r="B125" s="251">
        <v>0</v>
      </c>
      <c r="C125" s="252" t="s">
        <v>92</v>
      </c>
      <c r="D125" s="253"/>
      <c r="E125" s="254"/>
      <c r="F125" s="254"/>
      <c r="G125" s="254"/>
      <c r="H125" s="255"/>
      <c r="I125" s="255"/>
      <c r="J125" s="256">
        <v>850000</v>
      </c>
      <c r="O125" s="183">
        <f>+J125*B125</f>
        <v>0</v>
      </c>
      <c r="P125" s="223"/>
    </row>
    <row r="126" spans="2:15" ht="12.75">
      <c r="B126" s="251">
        <v>0</v>
      </c>
      <c r="C126" s="252" t="s">
        <v>96</v>
      </c>
      <c r="D126" s="257"/>
      <c r="E126" s="222"/>
      <c r="F126" s="222"/>
      <c r="G126" s="222"/>
      <c r="H126" s="258"/>
      <c r="I126" s="255"/>
      <c r="J126" s="256">
        <f aca="true" t="shared" si="40" ref="J126:J135">VLOOKUP(C126,$A$271:$B$284,2,FALSE)</f>
        <v>3295.04004</v>
      </c>
      <c r="K126" s="259"/>
      <c r="L126" s="236"/>
      <c r="M126" s="236"/>
      <c r="N126" s="236"/>
      <c r="O126" s="222">
        <f aca="true" t="shared" si="41" ref="O126:O135">+J126*B126</f>
        <v>0</v>
      </c>
    </row>
    <row r="127" spans="2:16" ht="12.75">
      <c r="B127" s="251">
        <v>0</v>
      </c>
      <c r="C127" s="252" t="s">
        <v>91</v>
      </c>
      <c r="D127" s="257"/>
      <c r="E127" s="222"/>
      <c r="F127" s="222"/>
      <c r="G127" s="222"/>
      <c r="H127" s="258"/>
      <c r="I127" s="255"/>
      <c r="J127" s="256">
        <f t="shared" si="40"/>
        <v>67730.08698</v>
      </c>
      <c r="K127" s="259"/>
      <c r="L127" s="236"/>
      <c r="M127" s="236"/>
      <c r="N127" s="236"/>
      <c r="O127" s="222">
        <f t="shared" si="41"/>
        <v>0</v>
      </c>
      <c r="P127" s="183"/>
    </row>
    <row r="128" spans="2:16" ht="12.75">
      <c r="B128" s="251">
        <v>0</v>
      </c>
      <c r="C128" s="252" t="s">
        <v>99</v>
      </c>
      <c r="D128" s="257"/>
      <c r="E128" s="222"/>
      <c r="F128" s="222"/>
      <c r="G128" s="222"/>
      <c r="H128" s="258"/>
      <c r="I128" s="255"/>
      <c r="J128" s="256">
        <f t="shared" si="40"/>
        <v>1102598.81046</v>
      </c>
      <c r="K128" s="259"/>
      <c r="L128" s="236"/>
      <c r="M128" s="236"/>
      <c r="N128" s="236"/>
      <c r="O128" s="222">
        <f t="shared" si="41"/>
        <v>0</v>
      </c>
      <c r="P128" s="183"/>
    </row>
    <row r="129" spans="2:15" ht="12.75">
      <c r="B129" s="251">
        <v>0</v>
      </c>
      <c r="C129" s="252" t="s">
        <v>100</v>
      </c>
      <c r="D129" s="257"/>
      <c r="E129" s="222"/>
      <c r="F129" s="222"/>
      <c r="G129" s="222"/>
      <c r="H129" s="258"/>
      <c r="I129" s="255"/>
      <c r="J129" s="256">
        <f t="shared" si="40"/>
        <v>1102598.81046</v>
      </c>
      <c r="K129" s="259"/>
      <c r="L129" s="236"/>
      <c r="M129" s="236"/>
      <c r="N129" s="236"/>
      <c r="O129" s="222">
        <f t="shared" si="41"/>
        <v>0</v>
      </c>
    </row>
    <row r="130" spans="2:15" ht="12.75" outlineLevel="1">
      <c r="B130" s="321">
        <v>0</v>
      </c>
      <c r="C130" s="330" t="s">
        <v>101</v>
      </c>
      <c r="D130" s="257"/>
      <c r="E130" s="222"/>
      <c r="F130" s="222"/>
      <c r="G130" s="222"/>
      <c r="H130" s="258"/>
      <c r="I130" s="255"/>
      <c r="J130" s="256">
        <f t="shared" si="40"/>
        <v>702393.05412</v>
      </c>
      <c r="K130" s="259"/>
      <c r="L130" s="236"/>
      <c r="M130" s="236"/>
      <c r="N130" s="236"/>
      <c r="O130" s="222">
        <f t="shared" si="41"/>
        <v>0</v>
      </c>
    </row>
    <row r="131" spans="2:15" ht="12.75" outlineLevel="1">
      <c r="B131" s="321">
        <v>0</v>
      </c>
      <c r="C131" s="330" t="s">
        <v>634</v>
      </c>
      <c r="D131" s="257"/>
      <c r="E131" s="222"/>
      <c r="F131" s="222"/>
      <c r="G131" s="222"/>
      <c r="H131" s="258"/>
      <c r="I131" s="255"/>
      <c r="J131" s="256">
        <f t="shared" si="40"/>
        <v>8543.009520000001</v>
      </c>
      <c r="K131" s="259"/>
      <c r="L131" s="236"/>
      <c r="M131" s="236"/>
      <c r="N131" s="236"/>
      <c r="O131" s="222">
        <f t="shared" si="41"/>
        <v>0</v>
      </c>
    </row>
    <row r="132" spans="2:15" ht="12.75" outlineLevel="1">
      <c r="B132" s="321">
        <v>0</v>
      </c>
      <c r="C132" s="330" t="s">
        <v>95</v>
      </c>
      <c r="D132" s="257"/>
      <c r="E132" s="222"/>
      <c r="F132" s="222"/>
      <c r="G132" s="222"/>
      <c r="H132" s="258"/>
      <c r="I132" s="255"/>
      <c r="J132" s="256">
        <f t="shared" si="40"/>
        <v>30264.06564</v>
      </c>
      <c r="K132" s="259"/>
      <c r="L132" s="236"/>
      <c r="M132" s="236"/>
      <c r="N132" s="236"/>
      <c r="O132" s="222">
        <f t="shared" si="41"/>
        <v>0</v>
      </c>
    </row>
    <row r="133" spans="2:15" ht="12.75" outlineLevel="1">
      <c r="B133" s="321">
        <v>0</v>
      </c>
      <c r="C133" s="330" t="s">
        <v>93</v>
      </c>
      <c r="D133" s="257"/>
      <c r="E133" s="222"/>
      <c r="F133" s="222"/>
      <c r="G133" s="222"/>
      <c r="H133" s="258"/>
      <c r="I133" s="255"/>
      <c r="J133" s="256">
        <f t="shared" si="40"/>
        <v>19707.89022</v>
      </c>
      <c r="K133" s="259"/>
      <c r="L133" s="236"/>
      <c r="M133" s="236"/>
      <c r="N133" s="236"/>
      <c r="O133" s="222">
        <f t="shared" si="41"/>
        <v>0</v>
      </c>
    </row>
    <row r="134" spans="2:15" ht="12.75" outlineLevel="1">
      <c r="B134" s="321">
        <v>0</v>
      </c>
      <c r="C134" s="330" t="s">
        <v>95</v>
      </c>
      <c r="D134" s="257"/>
      <c r="E134" s="222"/>
      <c r="F134" s="222"/>
      <c r="G134" s="222"/>
      <c r="H134" s="258"/>
      <c r="I134" s="255"/>
      <c r="J134" s="256">
        <f t="shared" si="40"/>
        <v>30264.06564</v>
      </c>
      <c r="K134" s="259"/>
      <c r="L134" s="236"/>
      <c r="M134" s="236"/>
      <c r="N134" s="236"/>
      <c r="O134" s="222">
        <f t="shared" si="41"/>
        <v>0</v>
      </c>
    </row>
    <row r="135" spans="1:15" ht="12.75">
      <c r="A135" s="185"/>
      <c r="B135" s="251">
        <v>0</v>
      </c>
      <c r="C135" s="252" t="s">
        <v>784</v>
      </c>
      <c r="D135" s="257"/>
      <c r="E135" s="222"/>
      <c r="F135" s="222"/>
      <c r="G135" s="222"/>
      <c r="H135" s="258"/>
      <c r="I135" s="255"/>
      <c r="J135" s="256">
        <f t="shared" si="40"/>
        <v>200000</v>
      </c>
      <c r="K135" s="259"/>
      <c r="L135" s="236"/>
      <c r="M135" s="236"/>
      <c r="N135" s="236"/>
      <c r="O135" s="222">
        <f t="shared" si="41"/>
        <v>0</v>
      </c>
    </row>
    <row r="136" spans="1:15" ht="12.75">
      <c r="A136" s="185"/>
      <c r="B136" s="238"/>
      <c r="C136" s="238"/>
      <c r="D136" s="238"/>
      <c r="E136" s="238"/>
      <c r="F136" s="238"/>
      <c r="G136" s="238"/>
      <c r="H136" s="238"/>
      <c r="I136" s="238"/>
      <c r="J136" s="238"/>
      <c r="K136" s="238"/>
      <c r="L136" s="238"/>
      <c r="M136" s="238"/>
      <c r="N136" s="238"/>
      <c r="O136" s="238"/>
    </row>
    <row r="137" spans="2:10" ht="12.75">
      <c r="B137" s="260" t="s">
        <v>59</v>
      </c>
      <c r="J137" s="260" t="s">
        <v>669</v>
      </c>
    </row>
    <row r="138" spans="16:17" ht="12.75">
      <c r="P138" s="223"/>
      <c r="Q138" s="250"/>
    </row>
    <row r="139" spans="2:5" ht="12.75">
      <c r="B139" s="195" t="s">
        <v>755</v>
      </c>
      <c r="C139" s="261"/>
      <c r="D139" s="356" t="str">
        <f>'INFORMACION DEL FP'!C30</f>
        <v>DLOPEZ</v>
      </c>
      <c r="E139" s="262"/>
    </row>
    <row r="140" ht="12.75"/>
    <row r="141" ht="12.75"/>
    <row r="142" ht="12.75"/>
    <row r="143" ht="12.75"/>
    <row r="144" ht="12.75"/>
    <row r="145" ht="12.75"/>
    <row r="146" ht="12.75"/>
    <row r="147" ht="12.75"/>
    <row r="148" ht="12.75">
      <c r="D148" s="245"/>
    </row>
    <row r="149" ht="12.75">
      <c r="D149" s="245"/>
    </row>
    <row r="150" ht="12.75">
      <c r="D150" s="245"/>
    </row>
    <row r="151" ht="12.75">
      <c r="D151" s="245"/>
    </row>
    <row r="152" spans="2:4" ht="12.75">
      <c r="B152" s="182"/>
      <c r="C152" s="182"/>
      <c r="D152" s="182"/>
    </row>
    <row r="153" spans="1:4" ht="12.75">
      <c r="A153" s="263" t="s">
        <v>141</v>
      </c>
      <c r="B153" s="236"/>
      <c r="C153" s="236"/>
      <c r="D153" s="182"/>
    </row>
    <row r="154" spans="1:4" ht="12.75">
      <c r="A154" s="264" t="s">
        <v>800</v>
      </c>
      <c r="B154" s="182"/>
      <c r="C154" s="213" t="s">
        <v>2</v>
      </c>
      <c r="D154" s="182"/>
    </row>
    <row r="155" spans="1:4" ht="12.75">
      <c r="A155" s="264" t="s">
        <v>791</v>
      </c>
      <c r="B155" s="182"/>
      <c r="C155" s="213" t="s">
        <v>3</v>
      </c>
      <c r="D155" s="201"/>
    </row>
    <row r="156" spans="1:4" ht="12.75">
      <c r="A156" s="264" t="s">
        <v>792</v>
      </c>
      <c r="B156" s="182"/>
      <c r="C156" s="213" t="s">
        <v>4</v>
      </c>
      <c r="D156" s="182"/>
    </row>
    <row r="157" spans="1:4" ht="12.75">
      <c r="A157" s="264" t="s">
        <v>625</v>
      </c>
      <c r="B157" s="182"/>
      <c r="C157" s="213" t="s">
        <v>5</v>
      </c>
      <c r="D157" s="182"/>
    </row>
    <row r="158" spans="1:4" ht="12.75">
      <c r="A158" s="264" t="s">
        <v>277</v>
      </c>
      <c r="B158" s="182"/>
      <c r="C158" s="213" t="s">
        <v>6</v>
      </c>
      <c r="D158" s="182"/>
    </row>
    <row r="159" spans="1:4" ht="12.75">
      <c r="A159" s="264" t="s">
        <v>272</v>
      </c>
      <c r="B159" s="182"/>
      <c r="C159" s="213" t="s">
        <v>7</v>
      </c>
      <c r="D159" s="182"/>
    </row>
    <row r="160" spans="1:4" ht="12.75">
      <c r="A160" s="264" t="s">
        <v>271</v>
      </c>
      <c r="B160" s="185"/>
      <c r="C160" s="213" t="s">
        <v>8</v>
      </c>
      <c r="D160" s="182"/>
    </row>
    <row r="161" spans="1:4" ht="12.75">
      <c r="A161" s="264" t="s">
        <v>803</v>
      </c>
      <c r="B161" s="182"/>
      <c r="C161" s="213" t="s">
        <v>9</v>
      </c>
      <c r="D161" s="185"/>
    </row>
    <row r="162" spans="1:4" ht="12.75">
      <c r="A162" s="264" t="s">
        <v>797</v>
      </c>
      <c r="B162" s="182"/>
      <c r="C162" s="182"/>
      <c r="D162" s="182"/>
    </row>
    <row r="163" spans="1:4" ht="12.75">
      <c r="A163" s="264" t="s">
        <v>798</v>
      </c>
      <c r="B163" s="182"/>
      <c r="C163" s="213" t="s">
        <v>69</v>
      </c>
      <c r="D163" s="182"/>
    </row>
    <row r="164" spans="1:4" ht="12.75">
      <c r="A164" s="264" t="s">
        <v>230</v>
      </c>
      <c r="B164" s="182"/>
      <c r="C164" s="213" t="s">
        <v>70</v>
      </c>
      <c r="D164" s="182"/>
    </row>
    <row r="165" spans="1:4" ht="12.75">
      <c r="A165" s="265" t="s">
        <v>227</v>
      </c>
      <c r="B165" s="182"/>
      <c r="C165" s="213" t="s">
        <v>71</v>
      </c>
      <c r="D165" s="182"/>
    </row>
    <row r="166" spans="1:4" ht="12.75">
      <c r="A166" s="264" t="s">
        <v>228</v>
      </c>
      <c r="B166" s="182"/>
      <c r="C166" s="213" t="s">
        <v>72</v>
      </c>
      <c r="D166" s="182"/>
    </row>
    <row r="167" spans="1:4" ht="12.75">
      <c r="A167" s="264" t="s">
        <v>229</v>
      </c>
      <c r="B167" s="182"/>
      <c r="C167" s="213" t="s">
        <v>73</v>
      </c>
      <c r="D167" s="182"/>
    </row>
    <row r="168" spans="1:4" ht="12.75">
      <c r="A168" s="264" t="s">
        <v>235</v>
      </c>
      <c r="B168" s="182"/>
      <c r="C168" s="213" t="s">
        <v>74</v>
      </c>
      <c r="D168" s="182"/>
    </row>
    <row r="169" spans="1:4" ht="12.75">
      <c r="A169" s="264" t="s">
        <v>226</v>
      </c>
      <c r="B169" s="182"/>
      <c r="C169" s="213" t="s">
        <v>75</v>
      </c>
      <c r="D169" s="182"/>
    </row>
    <row r="170" spans="1:4" ht="12.75">
      <c r="A170" s="264" t="s">
        <v>234</v>
      </c>
      <c r="B170" s="182"/>
      <c r="C170" s="213"/>
      <c r="D170" s="182"/>
    </row>
    <row r="171" spans="1:4" ht="12.75">
      <c r="A171" s="264" t="s">
        <v>232</v>
      </c>
      <c r="B171" s="182"/>
      <c r="C171" s="213"/>
      <c r="D171" s="182"/>
    </row>
    <row r="172" spans="1:4" ht="12.75">
      <c r="A172" s="264" t="s">
        <v>658</v>
      </c>
      <c r="B172" s="182"/>
      <c r="C172" s="213"/>
      <c r="D172" s="182"/>
    </row>
    <row r="173" spans="1:4" ht="12.75">
      <c r="A173" s="264" t="s">
        <v>231</v>
      </c>
      <c r="B173" s="182"/>
      <c r="D173" s="182"/>
    </row>
    <row r="174" spans="1:4" ht="12.75">
      <c r="A174" s="264" t="s">
        <v>789</v>
      </c>
      <c r="B174" s="182"/>
      <c r="C174" s="213"/>
      <c r="D174" s="182"/>
    </row>
    <row r="175" spans="1:4" ht="12.75">
      <c r="A175" s="264" t="s">
        <v>275</v>
      </c>
      <c r="B175" s="182"/>
      <c r="C175" s="213"/>
      <c r="D175" s="182"/>
    </row>
    <row r="176" spans="1:4" ht="12.75">
      <c r="A176" s="264" t="s">
        <v>225</v>
      </c>
      <c r="B176" s="182"/>
      <c r="C176" s="213"/>
      <c r="D176" s="182"/>
    </row>
    <row r="177" spans="1:4" ht="12.75">
      <c r="A177" s="264" t="s">
        <v>626</v>
      </c>
      <c r="B177" s="182"/>
      <c r="C177" s="213"/>
      <c r="D177" s="182"/>
    </row>
    <row r="178" spans="1:4" ht="12.75">
      <c r="A178" s="264" t="s">
        <v>764</v>
      </c>
      <c r="B178" s="182"/>
      <c r="C178" s="213"/>
      <c r="D178" s="182"/>
    </row>
    <row r="179" spans="1:4" ht="12.75">
      <c r="A179" s="264" t="s">
        <v>624</v>
      </c>
      <c r="B179" s="182"/>
      <c r="C179" s="213"/>
      <c r="D179" s="182"/>
    </row>
    <row r="180" spans="1:4" ht="12.75">
      <c r="A180" s="264" t="s">
        <v>255</v>
      </c>
      <c r="B180" s="182"/>
      <c r="D180" s="182"/>
    </row>
    <row r="181" spans="1:4" ht="12.75">
      <c r="A181" s="264" t="s">
        <v>17</v>
      </c>
      <c r="B181" s="182"/>
      <c r="D181" s="182"/>
    </row>
    <row r="182" spans="1:4" ht="12.75">
      <c r="A182" s="264" t="s">
        <v>11</v>
      </c>
      <c r="B182" s="182"/>
      <c r="C182" s="213"/>
      <c r="D182" s="182"/>
    </row>
    <row r="183" spans="1:4" ht="12.75">
      <c r="A183" s="264" t="s">
        <v>788</v>
      </c>
      <c r="B183" s="182"/>
      <c r="C183" s="213"/>
      <c r="D183" s="182"/>
    </row>
    <row r="184" spans="2:4" ht="12.75">
      <c r="B184" s="182"/>
      <c r="D184" s="182"/>
    </row>
    <row r="185" spans="1:4" ht="12.75">
      <c r="A185" s="266" t="s">
        <v>257</v>
      </c>
      <c r="B185" s="236"/>
      <c r="C185" s="267"/>
      <c r="D185" s="182"/>
    </row>
    <row r="186" spans="1:4" ht="12.75">
      <c r="A186" s="182" t="s">
        <v>794</v>
      </c>
      <c r="B186" s="182"/>
      <c r="D186" s="182"/>
    </row>
    <row r="187" spans="1:4" ht="12.75">
      <c r="A187" s="264" t="s">
        <v>83</v>
      </c>
      <c r="B187" s="182"/>
      <c r="D187" s="182"/>
    </row>
    <row r="188" spans="1:4" ht="12.75">
      <c r="A188" s="264" t="s">
        <v>86</v>
      </c>
      <c r="B188" s="182"/>
      <c r="D188" s="182"/>
    </row>
    <row r="189" spans="1:11" ht="12.75">
      <c r="A189" s="264" t="s">
        <v>14</v>
      </c>
      <c r="B189" s="182"/>
      <c r="D189" s="182"/>
      <c r="K189" s="905"/>
    </row>
    <row r="190" spans="1:11" ht="12.75">
      <c r="A190" s="264" t="s">
        <v>19</v>
      </c>
      <c r="B190" s="182"/>
      <c r="D190" s="182"/>
      <c r="K190" s="905"/>
    </row>
    <row r="191" spans="1:4" ht="12.75">
      <c r="A191" s="264" t="s">
        <v>18</v>
      </c>
      <c r="B191" s="182"/>
      <c r="D191" s="182"/>
    </row>
    <row r="192" spans="1:4" ht="12.75">
      <c r="A192" s="264" t="s">
        <v>16</v>
      </c>
      <c r="B192" s="182"/>
      <c r="C192" s="182"/>
      <c r="D192" s="182"/>
    </row>
    <row r="193" spans="1:4" ht="12.75">
      <c r="A193" s="264" t="s">
        <v>84</v>
      </c>
      <c r="B193" s="182"/>
      <c r="C193" s="182"/>
      <c r="D193" s="182"/>
    </row>
    <row r="194" spans="1:4" ht="12.75">
      <c r="A194" s="264" t="s">
        <v>12</v>
      </c>
      <c r="B194" s="182"/>
      <c r="C194" s="182"/>
      <c r="D194" s="182"/>
    </row>
    <row r="195" spans="1:4" ht="12.75">
      <c r="A195" s="265" t="s">
        <v>85</v>
      </c>
      <c r="B195" s="182"/>
      <c r="C195" s="182"/>
      <c r="D195" s="182"/>
    </row>
    <row r="196" spans="1:4" ht="12.75">
      <c r="A196" s="264" t="s">
        <v>15</v>
      </c>
      <c r="B196" s="182"/>
      <c r="C196" s="182"/>
      <c r="D196" s="182"/>
    </row>
    <row r="197" spans="1:4" ht="12.75">
      <c r="A197" s="264" t="s">
        <v>17</v>
      </c>
      <c r="B197" s="182"/>
      <c r="C197" s="182"/>
      <c r="D197" s="182"/>
    </row>
    <row r="198" spans="1:4" ht="12.75">
      <c r="A198" s="264" t="s">
        <v>793</v>
      </c>
      <c r="B198" s="182"/>
      <c r="C198" s="182"/>
      <c r="D198" s="182"/>
    </row>
    <row r="199" spans="2:4" ht="12.75">
      <c r="B199" s="182"/>
      <c r="C199" s="182"/>
      <c r="D199" s="182"/>
    </row>
    <row r="200" spans="2:4" ht="12.75">
      <c r="B200" s="912" t="s">
        <v>796</v>
      </c>
      <c r="C200" s="182"/>
      <c r="D200" s="182"/>
    </row>
    <row r="201" spans="1:11" ht="12.75">
      <c r="A201" s="263" t="s">
        <v>753</v>
      </c>
      <c r="B201" s="910">
        <v>1.035</v>
      </c>
      <c r="C201" s="906" t="s">
        <v>795</v>
      </c>
      <c r="D201" s="222"/>
      <c r="E201" s="268" t="s">
        <v>637</v>
      </c>
      <c r="F201" s="269" t="s">
        <v>630</v>
      </c>
      <c r="G201" s="874" t="s">
        <v>778</v>
      </c>
      <c r="H201" s="874" t="s">
        <v>780</v>
      </c>
      <c r="I201" s="874" t="s">
        <v>781</v>
      </c>
      <c r="J201" s="874" t="s">
        <v>781</v>
      </c>
      <c r="K201" s="874" t="s">
        <v>786</v>
      </c>
    </row>
    <row r="202" spans="1:11" ht="12.75">
      <c r="A202" s="265" t="s">
        <v>588</v>
      </c>
      <c r="B202" s="911">
        <f>+C202*$B$201</f>
        <v>365728.4409375</v>
      </c>
      <c r="C202" s="270">
        <v>353360.8125</v>
      </c>
      <c r="D202" s="183"/>
      <c r="E202" s="270">
        <v>279270</v>
      </c>
      <c r="F202" s="183">
        <f>ROUND((E202*1.0767),0)</f>
        <v>300690</v>
      </c>
      <c r="G202" s="270">
        <v>311635.116</v>
      </c>
      <c r="H202" s="183">
        <v>321514</v>
      </c>
      <c r="J202" s="183">
        <v>334375</v>
      </c>
      <c r="K202" s="183">
        <v>344406.25</v>
      </c>
    </row>
    <row r="203" spans="1:11" ht="12.75">
      <c r="A203" s="265" t="s">
        <v>589</v>
      </c>
      <c r="B203" s="911">
        <f aca="true" t="shared" si="42" ref="B203:B212">+C203*$B$201</f>
        <v>1611444.0817881</v>
      </c>
      <c r="C203" s="270">
        <v>1556950.8036600002</v>
      </c>
      <c r="D203" s="183"/>
      <c r="E203" s="270">
        <v>1230500</v>
      </c>
      <c r="F203" s="183">
        <f aca="true" t="shared" si="43" ref="F203:F212">ROUND((E203*1.0767),0)</f>
        <v>1324879</v>
      </c>
      <c r="G203" s="270">
        <v>1373104.5956</v>
      </c>
      <c r="H203" s="183">
        <v>1416632</v>
      </c>
      <c r="J203" s="183">
        <v>1473297</v>
      </c>
      <c r="K203" s="183">
        <v>1517495.9100000001</v>
      </c>
    </row>
    <row r="204" spans="1:11" ht="12.75">
      <c r="A204" s="264" t="s">
        <v>590</v>
      </c>
      <c r="B204" s="911">
        <f t="shared" si="42"/>
        <v>533877.6630357</v>
      </c>
      <c r="C204" s="270">
        <v>515823.82902</v>
      </c>
      <c r="D204" s="183"/>
      <c r="E204" s="270">
        <v>407670</v>
      </c>
      <c r="F204" s="183">
        <f t="shared" si="43"/>
        <v>438938</v>
      </c>
      <c r="G204" s="270">
        <v>454915.3432</v>
      </c>
      <c r="H204" s="183">
        <v>469336</v>
      </c>
      <c r="J204" s="183">
        <v>488109</v>
      </c>
      <c r="K204" s="183">
        <v>502752.27</v>
      </c>
    </row>
    <row r="205" spans="1:11" ht="12.75">
      <c r="A205" s="265" t="s">
        <v>591</v>
      </c>
      <c r="B205" s="911">
        <f t="shared" si="42"/>
        <v>18216.6943815</v>
      </c>
      <c r="C205" s="270">
        <v>17600.6709</v>
      </c>
      <c r="D205" s="183"/>
      <c r="E205" s="270">
        <v>13910</v>
      </c>
      <c r="F205" s="183">
        <f t="shared" si="43"/>
        <v>14977</v>
      </c>
      <c r="G205" s="270">
        <v>15522.1628</v>
      </c>
      <c r="H205" s="183">
        <v>16014</v>
      </c>
      <c r="J205" s="183">
        <v>16655</v>
      </c>
      <c r="K205" s="183">
        <v>17154.65</v>
      </c>
    </row>
    <row r="206" spans="1:11" ht="12.75">
      <c r="A206" s="265" t="s">
        <v>799</v>
      </c>
      <c r="B206" s="911">
        <v>100000</v>
      </c>
      <c r="C206" s="270">
        <v>0</v>
      </c>
      <c r="D206" s="183"/>
      <c r="E206" s="270"/>
      <c r="G206" s="270">
        <v>0</v>
      </c>
      <c r="H206" s="183">
        <v>0</v>
      </c>
      <c r="J206" s="183">
        <v>0</v>
      </c>
      <c r="K206" s="183">
        <v>0</v>
      </c>
    </row>
    <row r="207" spans="1:11" ht="12.75">
      <c r="A207" s="265" t="s">
        <v>592</v>
      </c>
      <c r="B207" s="911">
        <f t="shared" si="42"/>
        <v>175156.9891893</v>
      </c>
      <c r="C207" s="270">
        <v>169233.80598</v>
      </c>
      <c r="D207" s="183"/>
      <c r="E207" s="270">
        <v>133750</v>
      </c>
      <c r="F207" s="183">
        <f t="shared" si="43"/>
        <v>144009</v>
      </c>
      <c r="G207" s="270">
        <v>149250.9276</v>
      </c>
      <c r="H207" s="183">
        <v>153982</v>
      </c>
      <c r="J207" s="183">
        <v>160141</v>
      </c>
      <c r="K207" s="183">
        <v>164945.23</v>
      </c>
    </row>
    <row r="208" spans="1:11" ht="12.75">
      <c r="A208" s="265" t="s">
        <v>593</v>
      </c>
      <c r="B208" s="911">
        <f t="shared" si="42"/>
        <v>7005.579556500001</v>
      </c>
      <c r="C208" s="270">
        <v>6768.675900000001</v>
      </c>
      <c r="D208" s="183"/>
      <c r="E208" s="270">
        <v>5350</v>
      </c>
      <c r="F208" s="183">
        <f t="shared" si="43"/>
        <v>5760</v>
      </c>
      <c r="G208" s="270">
        <v>5969.664</v>
      </c>
      <c r="H208" s="183">
        <v>6159</v>
      </c>
      <c r="J208" s="183">
        <v>6405</v>
      </c>
      <c r="K208" s="183">
        <v>6597.150000000001</v>
      </c>
    </row>
    <row r="209" spans="1:11" ht="12.75">
      <c r="A209" s="265" t="s">
        <v>594</v>
      </c>
      <c r="B209" s="911">
        <f t="shared" si="42"/>
        <v>497445.36804</v>
      </c>
      <c r="C209" s="270">
        <v>480623.544</v>
      </c>
      <c r="D209" s="183"/>
      <c r="E209" s="270">
        <v>379850</v>
      </c>
      <c r="F209" s="183">
        <f t="shared" si="43"/>
        <v>408984</v>
      </c>
      <c r="G209" s="270">
        <v>423871.0176</v>
      </c>
      <c r="H209" s="183">
        <v>437308</v>
      </c>
      <c r="J209" s="183">
        <v>454800</v>
      </c>
      <c r="K209" s="183">
        <v>468444</v>
      </c>
    </row>
    <row r="210" spans="1:11" ht="12.75">
      <c r="A210" s="265" t="s">
        <v>595</v>
      </c>
      <c r="B210" s="911">
        <f t="shared" si="42"/>
        <v>22420.042115400003</v>
      </c>
      <c r="C210" s="270">
        <v>21661.876440000004</v>
      </c>
      <c r="D210" s="183"/>
      <c r="E210" s="271">
        <v>17120</v>
      </c>
      <c r="F210" s="183">
        <f t="shared" si="43"/>
        <v>18433</v>
      </c>
      <c r="G210" s="270">
        <v>19103.9612</v>
      </c>
      <c r="H210" s="183">
        <v>19710</v>
      </c>
      <c r="J210" s="183">
        <v>20498</v>
      </c>
      <c r="K210" s="183">
        <v>21112.940000000002</v>
      </c>
    </row>
    <row r="211" spans="1:11" ht="12.75">
      <c r="A211" s="272" t="s">
        <v>782</v>
      </c>
      <c r="B211" s="911">
        <f t="shared" si="42"/>
        <v>0</v>
      </c>
      <c r="C211" s="270">
        <v>0</v>
      </c>
      <c r="D211" s="183"/>
      <c r="E211" s="271">
        <v>17120</v>
      </c>
      <c r="F211" s="183">
        <f>ROUND((E211*1.0767),0)</f>
        <v>18433</v>
      </c>
      <c r="G211" s="270">
        <v>19103.9612</v>
      </c>
      <c r="H211" s="183">
        <v>19710</v>
      </c>
      <c r="J211" s="183">
        <v>20498</v>
      </c>
      <c r="K211" s="183"/>
    </row>
    <row r="212" spans="1:11" ht="12.75">
      <c r="A212" s="272" t="s">
        <v>783</v>
      </c>
      <c r="B212" s="911">
        <f t="shared" si="42"/>
        <v>0</v>
      </c>
      <c r="C212" s="270">
        <v>0</v>
      </c>
      <c r="D212" s="183"/>
      <c r="E212" s="271">
        <v>17120</v>
      </c>
      <c r="F212" s="183">
        <f t="shared" si="43"/>
        <v>18433</v>
      </c>
      <c r="G212" s="270">
        <v>19103.9612</v>
      </c>
      <c r="H212" s="183">
        <v>19710</v>
      </c>
      <c r="J212" s="183">
        <v>20498</v>
      </c>
      <c r="K212" s="183"/>
    </row>
    <row r="213" spans="1:4" ht="12.75">
      <c r="A213" s="272"/>
      <c r="B213" s="273"/>
      <c r="C213" s="183"/>
      <c r="D213" s="183"/>
    </row>
    <row r="214" spans="1:4" ht="12.75">
      <c r="A214" s="272"/>
      <c r="B214" s="273"/>
      <c r="C214" s="183"/>
      <c r="D214" s="183"/>
    </row>
    <row r="215" spans="1:4" ht="12.75">
      <c r="A215" s="272"/>
      <c r="B215" s="273"/>
      <c r="C215" s="183"/>
      <c r="D215" s="183"/>
    </row>
    <row r="216" spans="1:4" ht="12.75">
      <c r="A216" s="272"/>
      <c r="B216" s="273"/>
      <c r="C216" s="183"/>
      <c r="D216" s="183"/>
    </row>
    <row r="217" spans="1:11" ht="12.75">
      <c r="A217" s="274" t="s">
        <v>615</v>
      </c>
      <c r="B217" s="275"/>
      <c r="C217" s="906" t="s">
        <v>795</v>
      </c>
      <c r="D217" s="183"/>
      <c r="E217" s="276" t="s">
        <v>638</v>
      </c>
      <c r="F217" s="277" t="s">
        <v>642</v>
      </c>
      <c r="G217" s="873">
        <v>0.0317</v>
      </c>
      <c r="H217" s="874" t="s">
        <v>780</v>
      </c>
      <c r="J217" s="874" t="s">
        <v>781</v>
      </c>
      <c r="K217" s="874" t="s">
        <v>786</v>
      </c>
    </row>
    <row r="218" spans="1:11" ht="12.75">
      <c r="A218" s="264" t="s">
        <v>178</v>
      </c>
      <c r="B218" s="911">
        <f aca="true" t="shared" si="44" ref="B218:B228">+C218*$B$201</f>
        <v>4926659.330691899</v>
      </c>
      <c r="C218" s="270">
        <v>4760057.32434</v>
      </c>
      <c r="D218" s="183"/>
      <c r="E218" s="270">
        <v>3762000</v>
      </c>
      <c r="F218" s="183">
        <f>E218*1.0767</f>
        <v>4050545.4</v>
      </c>
      <c r="G218" s="183">
        <v>4197985.25256</v>
      </c>
      <c r="H218" s="270">
        <v>4331061</v>
      </c>
      <c r="J218" s="183">
        <v>4504303</v>
      </c>
      <c r="K218" s="183">
        <v>4639432.09</v>
      </c>
    </row>
    <row r="219" spans="1:11" ht="12.75">
      <c r="A219" s="264" t="s">
        <v>179</v>
      </c>
      <c r="B219" s="911">
        <f t="shared" si="44"/>
        <v>5747770.1306133</v>
      </c>
      <c r="C219" s="270">
        <v>5553401.09238</v>
      </c>
      <c r="D219" s="183">
        <v>0</v>
      </c>
      <c r="E219" s="270">
        <v>4389000</v>
      </c>
      <c r="F219" s="183">
        <f>E219*1.0767</f>
        <v>4725636.3</v>
      </c>
      <c r="G219" s="183">
        <v>4897649.46132</v>
      </c>
      <c r="H219" s="270">
        <v>5052905</v>
      </c>
      <c r="J219" s="183">
        <v>5255021</v>
      </c>
      <c r="K219" s="183">
        <v>5412671.63</v>
      </c>
    </row>
    <row r="220" spans="1:11" ht="12.75">
      <c r="A220" s="264" t="s">
        <v>20</v>
      </c>
      <c r="B220" s="911">
        <f t="shared" si="44"/>
        <v>4790463.4264959</v>
      </c>
      <c r="C220" s="270">
        <v>4628467.078740001</v>
      </c>
      <c r="D220" s="183"/>
      <c r="E220" s="270">
        <v>3658000</v>
      </c>
      <c r="F220" s="183">
        <f>E220*1.0767</f>
        <v>3938568.6</v>
      </c>
      <c r="G220" s="183">
        <v>4081932.4970400003</v>
      </c>
      <c r="H220" s="270">
        <v>4211330</v>
      </c>
      <c r="J220" s="183">
        <v>4379783</v>
      </c>
      <c r="K220" s="183">
        <v>4511176.49</v>
      </c>
    </row>
    <row r="221" spans="1:11" ht="12.75">
      <c r="A221" s="264" t="s">
        <v>88</v>
      </c>
      <c r="B221" s="911">
        <f t="shared" si="44"/>
        <v>0</v>
      </c>
      <c r="C221" s="270">
        <v>0</v>
      </c>
      <c r="D221" s="183"/>
      <c r="E221" s="270">
        <v>0</v>
      </c>
      <c r="H221" s="270"/>
      <c r="K221" s="183"/>
    </row>
    <row r="222" spans="1:11" ht="12.75">
      <c r="A222" s="279" t="s">
        <v>89</v>
      </c>
      <c r="B222" s="911">
        <f t="shared" si="44"/>
        <v>3220059.6813384</v>
      </c>
      <c r="C222" s="270">
        <v>3111168.77424</v>
      </c>
      <c r="D222" s="280" t="s">
        <v>779</v>
      </c>
      <c r="E222" s="270">
        <v>2121000</v>
      </c>
      <c r="F222" s="183">
        <f>E222*1.0767*1.0767*1.0767</f>
        <v>2647431.9617332234</v>
      </c>
      <c r="G222" s="183">
        <v>2743798.485140313</v>
      </c>
      <c r="H222" s="270">
        <v>2830777</v>
      </c>
      <c r="J222" s="183">
        <v>2944008</v>
      </c>
      <c r="K222" s="183">
        <v>3032328.24</v>
      </c>
    </row>
    <row r="223" spans="1:11" ht="12.75">
      <c r="A223" s="279" t="s">
        <v>691</v>
      </c>
      <c r="B223" s="911">
        <f t="shared" si="44"/>
        <v>9535257.693147598</v>
      </c>
      <c r="C223" s="270">
        <v>9212809.36536</v>
      </c>
      <c r="D223" s="280" t="s">
        <v>779</v>
      </c>
      <c r="E223" s="270">
        <v>6479000</v>
      </c>
      <c r="F223" s="183">
        <f>E223*1.21</f>
        <v>7839590</v>
      </c>
      <c r="G223" s="183">
        <v>8124951.076</v>
      </c>
      <c r="H223" s="270">
        <v>8382512</v>
      </c>
      <c r="J223" s="183">
        <v>8717812</v>
      </c>
      <c r="K223" s="183">
        <v>8979346.36</v>
      </c>
    </row>
    <row r="224" spans="1:11" ht="12.75">
      <c r="A224" s="264" t="s">
        <v>279</v>
      </c>
      <c r="B224" s="911">
        <f t="shared" si="44"/>
        <v>0</v>
      </c>
      <c r="C224" s="270">
        <v>0</v>
      </c>
      <c r="D224" s="183"/>
      <c r="E224" s="270"/>
      <c r="H224" s="270"/>
      <c r="K224" s="183"/>
    </row>
    <row r="225" spans="1:11" ht="12.75">
      <c r="A225" s="264" t="s">
        <v>280</v>
      </c>
      <c r="B225" s="911">
        <f t="shared" si="44"/>
        <v>0</v>
      </c>
      <c r="C225" s="270">
        <v>0</v>
      </c>
      <c r="D225" s="182"/>
      <c r="E225" s="270"/>
      <c r="H225" s="182"/>
      <c r="K225" s="183"/>
    </row>
    <row r="226" spans="1:11" s="282" customFormat="1" ht="24">
      <c r="A226" s="281" t="s">
        <v>719</v>
      </c>
      <c r="B226" s="911">
        <f t="shared" si="44"/>
        <v>10635022.119253498</v>
      </c>
      <c r="C226" s="270">
        <v>10275383.6901</v>
      </c>
      <c r="D226" s="280" t="s">
        <v>779</v>
      </c>
      <c r="E226" s="270"/>
      <c r="F226" s="183"/>
      <c r="G226" s="183">
        <v>9062054.54397134</v>
      </c>
      <c r="H226" s="270">
        <v>9349322</v>
      </c>
      <c r="I226" s="183"/>
      <c r="J226" s="282">
        <v>9723295</v>
      </c>
      <c r="K226" s="901">
        <v>10014993.85</v>
      </c>
    </row>
    <row r="227" spans="1:11" ht="12.75">
      <c r="A227" s="264" t="s">
        <v>281</v>
      </c>
      <c r="B227" s="911">
        <f t="shared" si="44"/>
        <v>0</v>
      </c>
      <c r="C227" s="270">
        <v>0</v>
      </c>
      <c r="D227" s="183"/>
      <c r="E227" s="270"/>
      <c r="H227" s="270"/>
      <c r="J227" s="183">
        <v>0</v>
      </c>
      <c r="K227" s="183">
        <v>0</v>
      </c>
    </row>
    <row r="228" spans="1:11" ht="12.75">
      <c r="A228" s="279" t="s">
        <v>98</v>
      </c>
      <c r="B228" s="911">
        <f t="shared" si="44"/>
        <v>2293446.2751936</v>
      </c>
      <c r="C228" s="270">
        <v>2215890.12096</v>
      </c>
      <c r="D228" s="280" t="s">
        <v>779</v>
      </c>
      <c r="E228" s="270">
        <v>678000</v>
      </c>
      <c r="F228" s="183">
        <f>E228*1.21*1.07</f>
        <v>877806.6000000001</v>
      </c>
      <c r="G228" s="183">
        <v>1954235.84</v>
      </c>
      <c r="H228" s="270">
        <v>2016185</v>
      </c>
      <c r="J228" s="183">
        <v>2096832</v>
      </c>
      <c r="K228" s="183">
        <v>2159736.96</v>
      </c>
    </row>
    <row r="229" spans="2:8" ht="12.75">
      <c r="B229" s="270"/>
      <c r="C229" s="183"/>
      <c r="D229" s="183"/>
      <c r="H229" s="283"/>
    </row>
    <row r="230" spans="1:11" ht="12.75">
      <c r="A230" s="284" t="s">
        <v>90</v>
      </c>
      <c r="B230" s="285"/>
      <c r="C230" s="907" t="s">
        <v>795</v>
      </c>
      <c r="D230" s="183"/>
      <c r="E230" s="276" t="s">
        <v>639</v>
      </c>
      <c r="F230" s="286" t="s">
        <v>641</v>
      </c>
      <c r="H230" s="276" t="s">
        <v>780</v>
      </c>
      <c r="J230" s="874" t="s">
        <v>781</v>
      </c>
      <c r="K230" s="874" t="s">
        <v>786</v>
      </c>
    </row>
    <row r="231" spans="1:13" ht="12.75">
      <c r="A231" s="287" t="s">
        <v>358</v>
      </c>
      <c r="B231" s="911">
        <f aca="true" t="shared" si="45" ref="B231:B249">+C231*$B$201</f>
        <v>133265.70159930002</v>
      </c>
      <c r="C231" s="270">
        <v>128759.13198000002</v>
      </c>
      <c r="D231" s="183"/>
      <c r="E231" s="288">
        <v>96280</v>
      </c>
      <c r="F231" s="183">
        <f>ROUND(E231*1.138,0)</f>
        <v>109567</v>
      </c>
      <c r="G231" s="183">
        <v>113555.23879999999</v>
      </c>
      <c r="H231" s="288">
        <v>117155</v>
      </c>
      <c r="J231" s="183">
        <v>121841</v>
      </c>
      <c r="K231" s="183">
        <v>125496.23000000001</v>
      </c>
      <c r="M231" s="278"/>
    </row>
    <row r="232" spans="1:13" ht="12.75">
      <c r="A232" s="287" t="s">
        <v>382</v>
      </c>
      <c r="B232" s="911">
        <f t="shared" si="45"/>
        <v>83491.6330782</v>
      </c>
      <c r="C232" s="270">
        <v>80668.24452000001</v>
      </c>
      <c r="D232" s="183"/>
      <c r="E232" s="288">
        <v>60320</v>
      </c>
      <c r="F232" s="183">
        <f aca="true" t="shared" si="46" ref="F232:F249">ROUND(E232*1.138,0)</f>
        <v>68644</v>
      </c>
      <c r="G232" s="183">
        <v>71142.6416</v>
      </c>
      <c r="H232" s="288">
        <v>73398</v>
      </c>
      <c r="J232" s="183">
        <v>76334</v>
      </c>
      <c r="K232" s="183">
        <v>78624.02</v>
      </c>
      <c r="M232" s="278"/>
    </row>
    <row r="233" spans="1:13" ht="12.75">
      <c r="A233" s="287" t="s">
        <v>754</v>
      </c>
      <c r="B233" s="911">
        <f t="shared" si="45"/>
        <v>5779.4664132</v>
      </c>
      <c r="C233" s="270">
        <v>5584.02552</v>
      </c>
      <c r="D233" s="183"/>
      <c r="E233" s="288">
        <v>4176</v>
      </c>
      <c r="F233" s="183">
        <f t="shared" si="46"/>
        <v>4752</v>
      </c>
      <c r="G233" s="183">
        <v>4924.9728</v>
      </c>
      <c r="H233" s="288">
        <v>5081</v>
      </c>
      <c r="J233" s="183">
        <v>5284</v>
      </c>
      <c r="K233" s="183">
        <v>5442.52</v>
      </c>
      <c r="M233" s="278"/>
    </row>
    <row r="234" spans="1:13" ht="12.75">
      <c r="A234" s="287" t="s">
        <v>431</v>
      </c>
      <c r="B234" s="911">
        <f t="shared" si="45"/>
        <v>513795.0016404</v>
      </c>
      <c r="C234" s="270">
        <v>496420.29144</v>
      </c>
      <c r="D234" s="183"/>
      <c r="E234" s="288">
        <v>371200</v>
      </c>
      <c r="F234" s="183">
        <f t="shared" si="46"/>
        <v>422426</v>
      </c>
      <c r="G234" s="183">
        <v>437802.3064</v>
      </c>
      <c r="H234" s="288">
        <v>451681</v>
      </c>
      <c r="J234" s="183">
        <v>469748</v>
      </c>
      <c r="K234" s="183">
        <v>483840.44</v>
      </c>
      <c r="M234" s="278"/>
    </row>
    <row r="235" spans="1:13" ht="12.75">
      <c r="A235" s="287" t="s">
        <v>476</v>
      </c>
      <c r="B235" s="911">
        <f t="shared" si="45"/>
        <v>27294.9629715</v>
      </c>
      <c r="C235" s="270">
        <v>26371.944900000002</v>
      </c>
      <c r="D235" s="183"/>
      <c r="E235" s="288">
        <v>19720</v>
      </c>
      <c r="F235" s="183">
        <f t="shared" si="46"/>
        <v>22441</v>
      </c>
      <c r="G235" s="183">
        <v>23257.8524</v>
      </c>
      <c r="H235" s="288">
        <v>23995</v>
      </c>
      <c r="J235" s="183">
        <v>24955</v>
      </c>
      <c r="K235" s="183">
        <v>25703.65</v>
      </c>
      <c r="M235" s="278"/>
    </row>
    <row r="236" spans="1:13" ht="12.75">
      <c r="A236" s="287" t="s">
        <v>439</v>
      </c>
      <c r="B236" s="911">
        <f t="shared" si="45"/>
        <v>33718.6583244</v>
      </c>
      <c r="C236" s="270">
        <v>32578.41384</v>
      </c>
      <c r="D236" s="183"/>
      <c r="E236" s="288">
        <v>24360</v>
      </c>
      <c r="F236" s="183">
        <f t="shared" si="46"/>
        <v>27722</v>
      </c>
      <c r="G236" s="183">
        <v>28731.0808</v>
      </c>
      <c r="H236" s="288">
        <v>29642</v>
      </c>
      <c r="J236" s="183">
        <v>30828</v>
      </c>
      <c r="K236" s="183">
        <v>31752.84</v>
      </c>
      <c r="M236" s="278"/>
    </row>
    <row r="237" spans="1:17" s="289" customFormat="1" ht="15" customHeight="1">
      <c r="A237" s="287" t="s">
        <v>307</v>
      </c>
      <c r="B237" s="911">
        <f t="shared" si="45"/>
        <v>73857.73069979998</v>
      </c>
      <c r="C237" s="270">
        <v>71360.12628</v>
      </c>
      <c r="E237" s="288">
        <v>53360</v>
      </c>
      <c r="F237" s="183">
        <f t="shared" si="46"/>
        <v>60724</v>
      </c>
      <c r="G237" s="289">
        <v>62934.3536</v>
      </c>
      <c r="H237" s="288">
        <v>64929</v>
      </c>
      <c r="J237" s="183">
        <v>67526</v>
      </c>
      <c r="K237" s="902">
        <v>69551.78</v>
      </c>
      <c r="M237" s="278"/>
      <c r="Q237" s="185"/>
    </row>
    <row r="238" spans="1:13" ht="12.75">
      <c r="A238" s="287" t="s">
        <v>310</v>
      </c>
      <c r="B238" s="911">
        <f t="shared" si="45"/>
        <v>48168.418124699994</v>
      </c>
      <c r="C238" s="270">
        <v>46539.534419999996</v>
      </c>
      <c r="D238" s="183"/>
      <c r="E238" s="288">
        <v>34800</v>
      </c>
      <c r="F238" s="183">
        <f t="shared" si="46"/>
        <v>39602</v>
      </c>
      <c r="G238" s="183">
        <v>41043.5128</v>
      </c>
      <c r="H238" s="288">
        <v>42345</v>
      </c>
      <c r="J238" s="183">
        <v>44039</v>
      </c>
      <c r="K238" s="183">
        <v>45360.17</v>
      </c>
      <c r="M238" s="278"/>
    </row>
    <row r="239" spans="1:13" ht="12.75">
      <c r="A239" s="287" t="s">
        <v>293</v>
      </c>
      <c r="B239" s="911">
        <f t="shared" si="45"/>
        <v>62618.177924999996</v>
      </c>
      <c r="C239" s="270">
        <v>60500.655</v>
      </c>
      <c r="D239" s="183"/>
      <c r="E239" s="288">
        <v>45240</v>
      </c>
      <c r="F239" s="183">
        <f t="shared" si="46"/>
        <v>51483</v>
      </c>
      <c r="G239" s="183">
        <v>53356.9812</v>
      </c>
      <c r="H239" s="288">
        <v>55048</v>
      </c>
      <c r="J239" s="183">
        <v>57250</v>
      </c>
      <c r="K239" s="183">
        <v>58967.5</v>
      </c>
      <c r="M239" s="278"/>
    </row>
    <row r="240" spans="1:13" ht="12.75">
      <c r="A240" s="287" t="s">
        <v>296</v>
      </c>
      <c r="B240" s="911">
        <f t="shared" si="45"/>
        <v>38534.5157463</v>
      </c>
      <c r="C240" s="270">
        <v>37231.41618</v>
      </c>
      <c r="D240" s="183"/>
      <c r="E240" s="288">
        <v>27840</v>
      </c>
      <c r="F240" s="183">
        <f t="shared" si="46"/>
        <v>31682</v>
      </c>
      <c r="G240" s="183">
        <v>32835.224799999996</v>
      </c>
      <c r="H240" s="288">
        <v>33876</v>
      </c>
      <c r="J240" s="183">
        <v>35231</v>
      </c>
      <c r="K240" s="183">
        <v>36287.93</v>
      </c>
      <c r="M240" s="278"/>
    </row>
    <row r="241" spans="1:13" ht="12.75">
      <c r="A241" s="287" t="s">
        <v>466</v>
      </c>
      <c r="B241" s="911">
        <f t="shared" si="45"/>
        <v>73857.73069979998</v>
      </c>
      <c r="C241" s="270">
        <v>71360.12628</v>
      </c>
      <c r="D241" s="183"/>
      <c r="E241" s="288">
        <v>53360</v>
      </c>
      <c r="F241" s="183">
        <f t="shared" si="46"/>
        <v>60724</v>
      </c>
      <c r="G241" s="183">
        <v>62934.3536</v>
      </c>
      <c r="H241" s="288">
        <v>64929</v>
      </c>
      <c r="J241" s="183">
        <v>67526</v>
      </c>
      <c r="K241" s="183">
        <v>69551.78</v>
      </c>
      <c r="M241" s="278"/>
    </row>
    <row r="242" spans="1:13" ht="12.75">
      <c r="A242" s="287" t="s">
        <v>329</v>
      </c>
      <c r="B242" s="911">
        <f t="shared" si="45"/>
        <v>337177.83310560003</v>
      </c>
      <c r="C242" s="270">
        <v>325775.68416000006</v>
      </c>
      <c r="D242" s="183"/>
      <c r="E242" s="288">
        <v>243600</v>
      </c>
      <c r="F242" s="183">
        <f t="shared" si="46"/>
        <v>277217</v>
      </c>
      <c r="G242" s="183">
        <v>287307.6988</v>
      </c>
      <c r="H242" s="288">
        <v>296415</v>
      </c>
      <c r="J242" s="183">
        <v>308272</v>
      </c>
      <c r="K242" s="183">
        <v>317520.16000000003</v>
      </c>
      <c r="M242" s="278"/>
    </row>
    <row r="243" spans="1:13" ht="12.75">
      <c r="A243" s="287" t="s">
        <v>236</v>
      </c>
      <c r="B243" s="911">
        <f t="shared" si="45"/>
        <v>216965.1504645</v>
      </c>
      <c r="C243" s="270">
        <v>209628.16470000002</v>
      </c>
      <c r="D243" s="183"/>
      <c r="E243" s="288">
        <v>156750</v>
      </c>
      <c r="F243" s="183">
        <f t="shared" si="46"/>
        <v>178382</v>
      </c>
      <c r="G243" s="183">
        <v>184875.1048</v>
      </c>
      <c r="H243" s="288">
        <v>190736</v>
      </c>
      <c r="J243" s="183">
        <v>198365</v>
      </c>
      <c r="K243" s="183">
        <v>204315.95</v>
      </c>
      <c r="M243" s="278"/>
    </row>
    <row r="244" spans="1:13" ht="12.75">
      <c r="A244" s="287" t="s">
        <v>237</v>
      </c>
      <c r="B244" s="911">
        <f t="shared" si="45"/>
        <v>151876.15220879996</v>
      </c>
      <c r="C244" s="270">
        <v>146740.24367999999</v>
      </c>
      <c r="D244" s="183"/>
      <c r="E244" s="288">
        <v>109725</v>
      </c>
      <c r="F244" s="183">
        <f t="shared" si="46"/>
        <v>124867</v>
      </c>
      <c r="G244" s="183">
        <v>129412.1588</v>
      </c>
      <c r="H244" s="288">
        <v>133515</v>
      </c>
      <c r="J244" s="183">
        <v>138856</v>
      </c>
      <c r="K244" s="183">
        <v>143021.68</v>
      </c>
      <c r="M244" s="278"/>
    </row>
    <row r="245" spans="1:13" ht="12.75">
      <c r="A245" s="287" t="s">
        <v>238</v>
      </c>
      <c r="B245" s="911">
        <f t="shared" si="45"/>
        <v>60750.023376599995</v>
      </c>
      <c r="C245" s="270">
        <v>58695.67476</v>
      </c>
      <c r="D245" s="183"/>
      <c r="E245" s="288">
        <v>43890</v>
      </c>
      <c r="F245" s="183">
        <f t="shared" si="46"/>
        <v>49947</v>
      </c>
      <c r="G245" s="183">
        <v>51765.0708</v>
      </c>
      <c r="H245" s="288">
        <v>53406</v>
      </c>
      <c r="J245" s="183">
        <v>55542</v>
      </c>
      <c r="K245" s="183">
        <v>57208.26</v>
      </c>
      <c r="M245" s="278"/>
    </row>
    <row r="246" spans="1:13" ht="12.75">
      <c r="A246" s="287" t="s">
        <v>239</v>
      </c>
      <c r="B246" s="911">
        <f t="shared" si="45"/>
        <v>67983.1065315</v>
      </c>
      <c r="C246" s="270">
        <v>65684.1609</v>
      </c>
      <c r="D246" s="183"/>
      <c r="E246" s="288">
        <v>49115</v>
      </c>
      <c r="F246" s="183">
        <f t="shared" si="46"/>
        <v>55893</v>
      </c>
      <c r="G246" s="183">
        <v>57927.5052</v>
      </c>
      <c r="H246" s="288">
        <v>59764</v>
      </c>
      <c r="J246" s="183">
        <v>62155</v>
      </c>
      <c r="K246" s="183">
        <v>64019.65</v>
      </c>
      <c r="M246" s="278"/>
    </row>
    <row r="247" spans="1:13" ht="12.75">
      <c r="A247" s="287" t="s">
        <v>240</v>
      </c>
      <c r="B247" s="911">
        <f t="shared" si="45"/>
        <v>376072.1982936</v>
      </c>
      <c r="C247" s="270">
        <v>363354.78096</v>
      </c>
      <c r="D247" s="183"/>
      <c r="E247" s="288">
        <v>271700</v>
      </c>
      <c r="F247" s="183">
        <f t="shared" si="46"/>
        <v>309195</v>
      </c>
      <c r="G247" s="183">
        <v>320449.698</v>
      </c>
      <c r="H247" s="288">
        <v>330608</v>
      </c>
      <c r="J247" s="183">
        <v>343832</v>
      </c>
      <c r="K247" s="183">
        <v>354146.96</v>
      </c>
      <c r="M247" s="278"/>
    </row>
    <row r="248" spans="1:13" ht="12.75">
      <c r="A248" s="287" t="s">
        <v>241</v>
      </c>
      <c r="B248" s="911">
        <f t="shared" si="45"/>
        <v>15909.939145800001</v>
      </c>
      <c r="C248" s="270">
        <v>15371.921880000002</v>
      </c>
      <c r="D248" s="183"/>
      <c r="E248" s="288">
        <v>11495</v>
      </c>
      <c r="F248" s="183">
        <f t="shared" si="46"/>
        <v>13081</v>
      </c>
      <c r="G248" s="183">
        <v>13557.1484</v>
      </c>
      <c r="H248" s="288">
        <v>13987</v>
      </c>
      <c r="J248" s="183">
        <v>14546</v>
      </c>
      <c r="K248" s="183">
        <v>14982.380000000001</v>
      </c>
      <c r="M248" s="278"/>
    </row>
    <row r="249" spans="1:13" ht="12.75">
      <c r="A249" s="287" t="s">
        <v>316</v>
      </c>
      <c r="B249" s="911">
        <f t="shared" si="45"/>
        <v>208729.0826955</v>
      </c>
      <c r="C249" s="270">
        <v>201670.61130000002</v>
      </c>
      <c r="D249" s="183"/>
      <c r="E249" s="288">
        <v>150800</v>
      </c>
      <c r="F249" s="183">
        <f t="shared" si="46"/>
        <v>171610</v>
      </c>
      <c r="G249" s="183">
        <v>177856.604</v>
      </c>
      <c r="H249" s="288">
        <v>183495</v>
      </c>
      <c r="J249" s="183">
        <v>190835</v>
      </c>
      <c r="K249" s="183">
        <v>196560.05000000002</v>
      </c>
      <c r="M249" s="278"/>
    </row>
    <row r="250" spans="1:4" ht="12.75">
      <c r="A250" s="264"/>
      <c r="B250" s="290"/>
      <c r="C250" s="183"/>
      <c r="D250" s="183"/>
    </row>
    <row r="251" spans="1:4" ht="12.75">
      <c r="A251" s="264"/>
      <c r="B251" s="290"/>
      <c r="C251" s="183"/>
      <c r="D251" s="183"/>
    </row>
    <row r="252" spans="1:4" ht="12.75">
      <c r="A252" s="264"/>
      <c r="B252" s="290"/>
      <c r="C252" s="183"/>
      <c r="D252" s="183"/>
    </row>
    <row r="253" spans="1:4" ht="12.75">
      <c r="A253" s="291" t="s">
        <v>730</v>
      </c>
      <c r="B253" s="292"/>
      <c r="C253" s="292"/>
      <c r="D253" s="292"/>
    </row>
    <row r="254" spans="1:4" ht="12.75">
      <c r="A254" s="293" t="s">
        <v>731</v>
      </c>
      <c r="B254" s="203"/>
      <c r="C254" s="203"/>
      <c r="D254" s="203"/>
    </row>
    <row r="255" spans="1:4" ht="12.75">
      <c r="A255" s="293" t="s">
        <v>732</v>
      </c>
      <c r="B255" s="203"/>
      <c r="C255" s="203"/>
      <c r="D255" s="203"/>
    </row>
    <row r="256" spans="1:4" ht="12.75">
      <c r="A256" s="293" t="s">
        <v>296</v>
      </c>
      <c r="B256" s="203"/>
      <c r="C256" s="203"/>
      <c r="D256" s="203"/>
    </row>
    <row r="257" spans="1:4" ht="12.75">
      <c r="A257" s="293" t="s">
        <v>733</v>
      </c>
      <c r="B257" s="203"/>
      <c r="C257" s="203"/>
      <c r="D257" s="203"/>
    </row>
    <row r="258" spans="1:4" ht="12.75">
      <c r="A258" s="293" t="s">
        <v>729</v>
      </c>
      <c r="B258" s="203"/>
      <c r="C258" s="203"/>
      <c r="D258" s="203"/>
    </row>
    <row r="259" spans="1:4" ht="12.75">
      <c r="A259" s="264"/>
      <c r="B259" s="290"/>
      <c r="C259" s="183"/>
      <c r="D259" s="183"/>
    </row>
    <row r="260" spans="1:4" ht="12.75">
      <c r="A260" s="264"/>
      <c r="B260" s="290"/>
      <c r="C260" s="183"/>
      <c r="D260" s="183"/>
    </row>
    <row r="261" spans="1:4" ht="12.75">
      <c r="A261" s="264"/>
      <c r="B261" s="290"/>
      <c r="C261" s="183"/>
      <c r="D261" s="183"/>
    </row>
    <row r="262" spans="1:4" ht="12.75">
      <c r="A262" s="201"/>
      <c r="B262" s="187"/>
      <c r="C262" s="183"/>
      <c r="D262" s="183"/>
    </row>
    <row r="263" spans="1:4" ht="12.75">
      <c r="A263" s="284" t="s">
        <v>266</v>
      </c>
      <c r="B263" s="294"/>
      <c r="C263" s="222"/>
      <c r="D263" s="222"/>
    </row>
    <row r="264" spans="1:4" ht="12.75">
      <c r="A264" s="201" t="s">
        <v>114</v>
      </c>
      <c r="B264" s="295"/>
      <c r="C264" s="183"/>
      <c r="D264" s="183"/>
    </row>
    <row r="265" spans="1:4" ht="12.75">
      <c r="A265" s="201" t="s">
        <v>115</v>
      </c>
      <c r="B265" s="295"/>
      <c r="C265" s="183"/>
      <c r="D265" s="183"/>
    </row>
    <row r="266" spans="1:4" ht="12.75">
      <c r="A266" s="201" t="s">
        <v>116</v>
      </c>
      <c r="B266" s="295"/>
      <c r="C266" s="183"/>
      <c r="D266" s="183"/>
    </row>
    <row r="267" spans="1:4" ht="12.75">
      <c r="A267" s="201" t="s">
        <v>117</v>
      </c>
      <c r="B267" s="296"/>
      <c r="C267" s="183"/>
      <c r="D267" s="183"/>
    </row>
    <row r="268" spans="1:4" ht="12.75">
      <c r="A268" s="201" t="s">
        <v>118</v>
      </c>
      <c r="B268" s="296"/>
      <c r="C268" s="183"/>
      <c r="D268" s="183"/>
    </row>
    <row r="269" spans="2:4" ht="12.75">
      <c r="B269" s="296"/>
      <c r="C269" s="183"/>
      <c r="D269" s="183"/>
    </row>
    <row r="270" spans="1:13" ht="12.75">
      <c r="A270" s="284" t="s">
        <v>125</v>
      </c>
      <c r="B270" s="297"/>
      <c r="C270" s="280" t="s">
        <v>785</v>
      </c>
      <c r="D270" s="222"/>
      <c r="E270" s="183" t="s">
        <v>631</v>
      </c>
      <c r="F270" s="183" t="s">
        <v>632</v>
      </c>
      <c r="H270" s="183" t="s">
        <v>633</v>
      </c>
      <c r="K270" s="182">
        <v>2012</v>
      </c>
      <c r="M270" s="874" t="s">
        <v>786</v>
      </c>
    </row>
    <row r="271" spans="1:13" ht="12.75">
      <c r="A271" s="264" t="s">
        <v>672</v>
      </c>
      <c r="B271" s="298">
        <v>317904.78672000003</v>
      </c>
      <c r="D271" s="183"/>
      <c r="E271" s="298">
        <v>242000</v>
      </c>
      <c r="F271" s="298">
        <f>E271*1.0767</f>
        <v>260561.4</v>
      </c>
      <c r="G271" s="183">
        <v>269982.2</v>
      </c>
      <c r="H271" s="183">
        <v>260500</v>
      </c>
      <c r="J271" s="183">
        <f>ROUND(F271,0)</f>
        <v>260561</v>
      </c>
      <c r="K271" s="298">
        <v>300824</v>
      </c>
      <c r="L271" s="223" t="e">
        <f>+ROUND(C270*L270,0)</f>
        <v>#VALUE!</v>
      </c>
      <c r="M271" s="183">
        <v>309848.72000000003</v>
      </c>
    </row>
    <row r="272" spans="1:13" ht="12.75">
      <c r="A272" s="264" t="s">
        <v>96</v>
      </c>
      <c r="B272" s="298">
        <v>3295.04004</v>
      </c>
      <c r="C272" s="299"/>
      <c r="D272" s="183"/>
      <c r="E272" s="298">
        <v>2500</v>
      </c>
      <c r="F272" s="298">
        <f aca="true" t="shared" si="47" ref="F272:F284">E272*1.0767</f>
        <v>2691.75</v>
      </c>
      <c r="G272" s="183">
        <v>2798.2799999999997</v>
      </c>
      <c r="H272" s="183">
        <v>2700</v>
      </c>
      <c r="J272" s="183">
        <f aca="true" t="shared" si="48" ref="J272:J284">ROUND(F272,0)</f>
        <v>2692</v>
      </c>
      <c r="K272" s="298">
        <v>3118</v>
      </c>
      <c r="M272" s="183">
        <v>3211.54</v>
      </c>
    </row>
    <row r="273" spans="1:13" ht="12.75">
      <c r="A273" s="264" t="s">
        <v>91</v>
      </c>
      <c r="B273" s="298">
        <v>67730.08698</v>
      </c>
      <c r="C273" s="299"/>
      <c r="D273" s="183"/>
      <c r="E273" s="298">
        <v>51500</v>
      </c>
      <c r="F273" s="298">
        <f t="shared" si="47"/>
        <v>55450.05</v>
      </c>
      <c r="G273" s="183">
        <v>57520.2</v>
      </c>
      <c r="H273" s="183">
        <v>55500</v>
      </c>
      <c r="J273" s="183">
        <f t="shared" si="48"/>
        <v>55450</v>
      </c>
      <c r="K273" s="298">
        <v>64091</v>
      </c>
      <c r="M273" s="183">
        <v>66013.73</v>
      </c>
    </row>
    <row r="274" spans="1:13" ht="12.75">
      <c r="A274" s="264" t="s">
        <v>99</v>
      </c>
      <c r="B274" s="298">
        <v>1102598.81046</v>
      </c>
      <c r="C274" s="299"/>
      <c r="D274" s="183"/>
      <c r="E274" s="298">
        <v>839200</v>
      </c>
      <c r="F274" s="298">
        <f t="shared" si="47"/>
        <v>903566.64</v>
      </c>
      <c r="G274" s="183">
        <v>936387.4</v>
      </c>
      <c r="H274" s="183">
        <v>903500</v>
      </c>
      <c r="J274" s="183">
        <f t="shared" si="48"/>
        <v>903567</v>
      </c>
      <c r="K274" s="298">
        <v>1043357</v>
      </c>
      <c r="M274" s="183">
        <v>1074657.71</v>
      </c>
    </row>
    <row r="275" spans="1:13" ht="12.75">
      <c r="A275" s="264" t="s">
        <v>100</v>
      </c>
      <c r="B275" s="298">
        <v>1102598.81046</v>
      </c>
      <c r="C275" s="299"/>
      <c r="D275" s="183"/>
      <c r="E275" s="298">
        <v>839200</v>
      </c>
      <c r="F275" s="298">
        <f t="shared" si="47"/>
        <v>903566.64</v>
      </c>
      <c r="G275" s="183">
        <v>936387.4</v>
      </c>
      <c r="H275" s="183">
        <v>903500</v>
      </c>
      <c r="J275" s="183">
        <f t="shared" si="48"/>
        <v>903567</v>
      </c>
      <c r="K275" s="298">
        <v>1043357</v>
      </c>
      <c r="M275" s="183">
        <v>1074657.71</v>
      </c>
    </row>
    <row r="276" spans="1:13" ht="12.75">
      <c r="A276" s="264" t="s">
        <v>101</v>
      </c>
      <c r="B276" s="298">
        <v>702393.05412</v>
      </c>
      <c r="C276" s="299"/>
      <c r="D276" s="183"/>
      <c r="E276" s="298">
        <v>534560</v>
      </c>
      <c r="F276" s="298">
        <f t="shared" si="47"/>
        <v>575560.752</v>
      </c>
      <c r="G276" s="183">
        <v>596510.384</v>
      </c>
      <c r="H276" s="183">
        <v>575560</v>
      </c>
      <c r="J276" s="183">
        <f t="shared" si="48"/>
        <v>575561</v>
      </c>
      <c r="K276" s="298">
        <v>664654</v>
      </c>
      <c r="M276" s="183">
        <v>684593.62</v>
      </c>
    </row>
    <row r="277" spans="1:13" ht="12.75">
      <c r="A277" s="264" t="s">
        <v>94</v>
      </c>
      <c r="B277" s="298">
        <v>23675.04234</v>
      </c>
      <c r="C277" s="299"/>
      <c r="D277" s="183"/>
      <c r="E277" s="298">
        <v>18000</v>
      </c>
      <c r="F277" s="298">
        <f t="shared" si="47"/>
        <v>19380.6</v>
      </c>
      <c r="G277" s="183">
        <v>20106.16</v>
      </c>
      <c r="H277" s="183">
        <v>19400</v>
      </c>
      <c r="J277" s="183">
        <f t="shared" si="48"/>
        <v>19381</v>
      </c>
      <c r="K277" s="298">
        <v>22403</v>
      </c>
      <c r="M277" s="183">
        <v>23075.09</v>
      </c>
    </row>
    <row r="278" spans="1:13" ht="12.75">
      <c r="A278" s="264" t="s">
        <v>95</v>
      </c>
      <c r="B278" s="298">
        <v>30264.06564</v>
      </c>
      <c r="C278" s="299"/>
      <c r="D278" s="183"/>
      <c r="E278" s="298">
        <v>23000</v>
      </c>
      <c r="F278" s="298">
        <f t="shared" si="47"/>
        <v>24764.1</v>
      </c>
      <c r="G278" s="183">
        <v>25702.72</v>
      </c>
      <c r="H278" s="183">
        <v>24800</v>
      </c>
      <c r="J278" s="183">
        <f t="shared" si="48"/>
        <v>24764</v>
      </c>
      <c r="K278" s="298">
        <v>28638</v>
      </c>
      <c r="M278" s="183">
        <v>29497.14</v>
      </c>
    </row>
    <row r="279" spans="1:13" ht="12.75">
      <c r="A279" s="264" t="s">
        <v>93</v>
      </c>
      <c r="B279" s="298">
        <v>19707.89022</v>
      </c>
      <c r="C279" s="299"/>
      <c r="D279" s="183"/>
      <c r="E279" s="298">
        <v>15000</v>
      </c>
      <c r="F279" s="298">
        <f t="shared" si="47"/>
        <v>16150.5</v>
      </c>
      <c r="G279" s="183">
        <v>16737.86</v>
      </c>
      <c r="H279" s="183">
        <v>16150</v>
      </c>
      <c r="J279" s="183">
        <f t="shared" si="48"/>
        <v>16151</v>
      </c>
      <c r="K279" s="298">
        <v>18649</v>
      </c>
      <c r="M279" s="183">
        <v>19208.47</v>
      </c>
    </row>
    <row r="280" spans="1:13" ht="12.75">
      <c r="A280" s="264" t="s">
        <v>97</v>
      </c>
      <c r="B280" s="298">
        <v>0</v>
      </c>
      <c r="C280" s="299"/>
      <c r="D280" s="183"/>
      <c r="E280" s="298">
        <v>0</v>
      </c>
      <c r="F280" s="298">
        <f t="shared" si="47"/>
        <v>0</v>
      </c>
      <c r="J280" s="183">
        <f t="shared" si="48"/>
        <v>0</v>
      </c>
      <c r="K280" s="298">
        <v>0</v>
      </c>
      <c r="M280" s="183">
        <v>0</v>
      </c>
    </row>
    <row r="281" spans="1:13" ht="12.75">
      <c r="A281" s="264" t="s">
        <v>283</v>
      </c>
      <c r="B281" s="298">
        <v>0</v>
      </c>
      <c r="C281" s="299"/>
      <c r="D281" s="183"/>
      <c r="E281" s="298">
        <v>0</v>
      </c>
      <c r="F281" s="298">
        <f t="shared" si="47"/>
        <v>0</v>
      </c>
      <c r="J281" s="183">
        <f t="shared" si="48"/>
        <v>0</v>
      </c>
      <c r="K281" s="298">
        <v>0</v>
      </c>
      <c r="M281" s="183">
        <v>0</v>
      </c>
    </row>
    <row r="282" spans="1:13" ht="12.75">
      <c r="A282" s="264" t="s">
        <v>284</v>
      </c>
      <c r="B282" s="298">
        <v>0</v>
      </c>
      <c r="C282" s="299"/>
      <c r="D282" s="183"/>
      <c r="E282" s="298">
        <v>0</v>
      </c>
      <c r="F282" s="298">
        <f t="shared" si="47"/>
        <v>0</v>
      </c>
      <c r="J282" s="183">
        <f t="shared" si="48"/>
        <v>0</v>
      </c>
      <c r="K282" s="298">
        <v>0</v>
      </c>
      <c r="M282" s="183">
        <v>0</v>
      </c>
    </row>
    <row r="283" spans="1:13" ht="12.75">
      <c r="A283" s="264" t="s">
        <v>634</v>
      </c>
      <c r="B283" s="298">
        <v>8543.009520000001</v>
      </c>
      <c r="C283" s="299"/>
      <c r="D283" s="183"/>
      <c r="E283" s="298">
        <v>6500</v>
      </c>
      <c r="F283" s="298">
        <f t="shared" si="47"/>
        <v>6998.55</v>
      </c>
      <c r="G283" s="183">
        <v>7254.8</v>
      </c>
      <c r="H283" s="183">
        <v>7000</v>
      </c>
      <c r="J283" s="183">
        <f t="shared" si="48"/>
        <v>6999</v>
      </c>
      <c r="K283" s="298">
        <v>8084</v>
      </c>
      <c r="M283" s="183">
        <v>8326.52</v>
      </c>
    </row>
    <row r="284" spans="1:13" ht="12.75">
      <c r="A284" s="264" t="s">
        <v>784</v>
      </c>
      <c r="B284" s="298">
        <v>200000</v>
      </c>
      <c r="C284" s="299"/>
      <c r="D284" s="183"/>
      <c r="E284" s="298">
        <v>400000</v>
      </c>
      <c r="F284" s="298">
        <f t="shared" si="47"/>
        <v>430680</v>
      </c>
      <c r="G284" s="183">
        <v>446377.48</v>
      </c>
      <c r="H284" s="183">
        <v>430700</v>
      </c>
      <c r="J284" s="183">
        <f t="shared" si="48"/>
        <v>430680</v>
      </c>
      <c r="K284" s="298">
        <v>497370</v>
      </c>
      <c r="M284" s="183">
        <v>1024582.2000000001</v>
      </c>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row r="1350" ht="12.75">
      <c r="D1350" s="245"/>
    </row>
    <row r="1351" ht="12.75">
      <c r="D1351" s="245"/>
    </row>
    <row r="1352" ht="12.75">
      <c r="D1352" s="245"/>
    </row>
    <row r="1353" ht="12.75">
      <c r="D1353" s="245"/>
    </row>
    <row r="1354" ht="12.75">
      <c r="D1354" s="245"/>
    </row>
    <row r="1355" ht="12.75">
      <c r="D1355" s="245"/>
    </row>
    <row r="1356" ht="12.75">
      <c r="D1356" s="245"/>
    </row>
    <row r="1357" ht="12.75">
      <c r="D1357" s="245"/>
    </row>
    <row r="1358" ht="12.75">
      <c r="D1358" s="245"/>
    </row>
    <row r="1359" ht="12.75">
      <c r="D1359" s="245"/>
    </row>
    <row r="1360" ht="12.75">
      <c r="D1360" s="245"/>
    </row>
    <row r="1361" ht="12.75">
      <c r="D1361" s="245"/>
    </row>
    <row r="1362" ht="12.75">
      <c r="D1362" s="245"/>
    </row>
    <row r="1363" ht="12.75">
      <c r="D1363" s="245"/>
    </row>
    <row r="1364" ht="12.75">
      <c r="D1364" s="245"/>
    </row>
    <row r="1365" ht="12.75">
      <c r="D1365" s="245"/>
    </row>
    <row r="1366" ht="12.75">
      <c r="D1366" s="245"/>
    </row>
    <row r="1367" ht="12.75">
      <c r="D1367" s="245"/>
    </row>
    <row r="1368" ht="12.75">
      <c r="D1368" s="245"/>
    </row>
    <row r="1369" ht="12.75">
      <c r="D1369" s="245"/>
    </row>
    <row r="1370" ht="12.75">
      <c r="D1370" s="245"/>
    </row>
    <row r="1371" ht="12.75">
      <c r="D1371" s="245"/>
    </row>
    <row r="1372" ht="12.75">
      <c r="D1372" s="245"/>
    </row>
    <row r="1373" ht="12.75">
      <c r="D1373" s="245"/>
    </row>
    <row r="1374" ht="12.75">
      <c r="D1374" s="245"/>
    </row>
    <row r="1375" ht="12.75">
      <c r="D1375" s="245"/>
    </row>
    <row r="1376" ht="12.75">
      <c r="D1376" s="245"/>
    </row>
    <row r="1377" ht="12.75">
      <c r="D1377" s="245"/>
    </row>
    <row r="1378" ht="12.75">
      <c r="D1378" s="245"/>
    </row>
    <row r="1379" ht="12.75">
      <c r="D1379" s="245"/>
    </row>
    <row r="1380" ht="12.75">
      <c r="D1380" s="245"/>
    </row>
  </sheetData>
  <sheetProtection/>
  <mergeCells count="9">
    <mergeCell ref="Q69:R69"/>
    <mergeCell ref="J10:N10"/>
    <mergeCell ref="J9:N9"/>
    <mergeCell ref="A1:P1"/>
    <mergeCell ref="A2:P2"/>
    <mergeCell ref="A3:P3"/>
    <mergeCell ref="B6:G6"/>
    <mergeCell ref="J6:N6"/>
    <mergeCell ref="A4:P4"/>
  </mergeCells>
  <conditionalFormatting sqref="J9:N9">
    <cfRule type="colorScale" priority="1" dxfId="0">
      <colorScale>
        <cfvo type="num" val="&quot;d8&quot;"/>
        <cfvo type="max"/>
        <color rgb="FFFF7128"/>
        <color rgb="FFFFEF9C"/>
      </colorScale>
    </cfRule>
  </conditionalFormatting>
  <dataValidations count="11">
    <dataValidation type="list" allowBlank="1" showInputMessage="1" showErrorMessage="1" sqref="C54:C62 C47:C49 C14:C33">
      <formula1>$C$154:$C$161</formula1>
    </dataValidation>
    <dataValidation type="list" allowBlank="1" showInputMessage="1" showErrorMessage="1" sqref="A54:A62 A47:A51 A14:A32">
      <formula1>TiposPersonalProfesional</formula1>
    </dataValidation>
    <dataValidation type="list" allowBlank="1" showInputMessage="1" showErrorMessage="1" sqref="C148">
      <formula1>$A$241:$A$246</formula1>
    </dataValidation>
    <dataValidation type="list" allowBlank="1" showInputMessage="1" showErrorMessage="1" sqref="C78:C85">
      <formula1>TiposEquipos</formula1>
    </dataValidation>
    <dataValidation type="list" allowBlank="1" showInputMessage="1" showErrorMessage="1" sqref="C125:C136">
      <formula1>TiposCampamentos</formula1>
    </dataValidation>
    <dataValidation type="list" allowBlank="1" showInputMessage="1" showErrorMessage="1" sqref="C102:C122">
      <formula1>TiposEnsayos</formula1>
    </dataValidation>
    <dataValidation type="list" allowBlank="1" showInputMessage="1" showErrorMessage="1" sqref="C94:C99">
      <formula1>GastosViajes</formula1>
    </dataValidation>
    <dataValidation type="list" allowBlank="1" showInputMessage="1" showErrorMessage="1" sqref="C88:C91">
      <formula1>$A$202:$A$228</formula1>
    </dataValidation>
    <dataValidation type="list" allowBlank="1" showInputMessage="1" showErrorMessage="1" sqref="C65:C75">
      <formula1>$A$202:$A$212</formula1>
    </dataValidation>
    <dataValidation type="list" allowBlank="1" showInputMessage="1" showErrorMessage="1" sqref="C35:C44 C50:C51">
      <formula1>$C$163:$C$172</formula1>
    </dataValidation>
    <dataValidation type="list" allowBlank="1" showInputMessage="1" showErrorMessage="1" sqref="A35:A44">
      <formula1>TiposPersonalTecnico</formula1>
    </dataValidation>
  </dataValidations>
  <printOptions horizontalCentered="1"/>
  <pageMargins left="0.15748031496062992" right="0.15748031496062992" top="0.7874015748031497" bottom="0.7874015748031497" header="0.5905511811023623" footer="0.5905511811023623"/>
  <pageSetup horizontalDpi="600" verticalDpi="600" orientation="portrait" paperSize="130" scale="50" r:id="rId3"/>
  <headerFooter alignWithMargins="0">
    <oddHeader>&amp;CAnálisis de Costos - Área de Estudios Previos</oddHeader>
    <oddFooter>&amp;L16/02/2010</oddFooter>
  </headerFooter>
  <legacyDrawing r:id="rId2"/>
</worksheet>
</file>

<file path=xl/worksheets/sheet5.xml><?xml version="1.0" encoding="utf-8"?>
<worksheet xmlns="http://schemas.openxmlformats.org/spreadsheetml/2006/main" xmlns:r="http://schemas.openxmlformats.org/officeDocument/2006/relationships">
  <sheetPr codeName="Hoja5">
    <tabColor theme="7" tint="-0.24997000396251678"/>
    <pageSetUpPr fitToPage="1"/>
  </sheetPr>
  <dimension ref="A1:IV144"/>
  <sheetViews>
    <sheetView showGridLines="0" view="pageBreakPreview" zoomScale="85" zoomScaleSheetLayoutView="85" zoomScalePageLayoutView="0" workbookViewId="0" topLeftCell="A35">
      <selection activeCell="F52" sqref="F52"/>
    </sheetView>
  </sheetViews>
  <sheetFormatPr defaultColWidth="12.66015625" defaultRowHeight="12.75" outlineLevelRow="2"/>
  <cols>
    <col min="1" max="1" width="17.66015625" style="627" customWidth="1"/>
    <col min="2" max="2" width="29.16015625" style="627" bestFit="1" customWidth="1"/>
    <col min="3" max="3" width="17.66015625" style="627" customWidth="1"/>
    <col min="4" max="4" width="25.83203125" style="647" customWidth="1"/>
    <col min="5" max="5" width="18.83203125" style="627" customWidth="1"/>
    <col min="6" max="6" width="24.33203125" style="655" bestFit="1" customWidth="1"/>
    <col min="7" max="7" width="38.66015625" style="627" customWidth="1"/>
    <col min="8" max="8" width="18" style="627" bestFit="1" customWidth="1"/>
    <col min="9" max="9" width="16.66015625" style="627" customWidth="1"/>
    <col min="10" max="10" width="0.65625" style="627" customWidth="1"/>
    <col min="11" max="11" width="7.33203125" style="627" bestFit="1" customWidth="1"/>
    <col min="12" max="12" width="6.66015625" style="627" bestFit="1" customWidth="1"/>
    <col min="13" max="13" width="2.83203125" style="627" customWidth="1"/>
    <col min="14" max="254" width="12" style="627" customWidth="1"/>
    <col min="255" max="255" width="30" style="627" bestFit="1" customWidth="1"/>
    <col min="256" max="16384" width="12.66015625" style="627" customWidth="1"/>
  </cols>
  <sheetData>
    <row r="1" spans="1:16" ht="15.75">
      <c r="A1" s="986" t="s">
        <v>790</v>
      </c>
      <c r="B1" s="986"/>
      <c r="C1" s="986"/>
      <c r="D1" s="986"/>
      <c r="E1" s="986"/>
      <c r="F1" s="986"/>
      <c r="G1" s="624"/>
      <c r="H1" s="625"/>
      <c r="I1" s="626"/>
      <c r="J1" s="626"/>
      <c r="K1" s="626"/>
      <c r="L1" s="626"/>
      <c r="M1" s="626"/>
      <c r="N1" s="626"/>
      <c r="O1" s="626"/>
      <c r="P1" s="626"/>
    </row>
    <row r="2" spans="1:16" ht="15.75">
      <c r="A2" s="987">
        <f>+'PERSONAL Y OTROS'!A2:P2</f>
        <v>0</v>
      </c>
      <c r="B2" s="987"/>
      <c r="C2" s="987"/>
      <c r="D2" s="987"/>
      <c r="E2" s="987"/>
      <c r="F2" s="987"/>
      <c r="G2" s="626"/>
      <c r="H2" s="626"/>
      <c r="I2" s="626"/>
      <c r="J2" s="626"/>
      <c r="K2" s="626"/>
      <c r="L2" s="626"/>
      <c r="M2" s="626"/>
      <c r="N2" s="626"/>
      <c r="O2" s="626"/>
      <c r="P2" s="626"/>
    </row>
    <row r="3" spans="1:16" ht="21.75" customHeight="1">
      <c r="A3" s="986" t="s">
        <v>776</v>
      </c>
      <c r="B3" s="986"/>
      <c r="C3" s="986"/>
      <c r="D3" s="986"/>
      <c r="E3" s="986"/>
      <c r="F3" s="986"/>
      <c r="G3" s="626"/>
      <c r="H3" s="626"/>
      <c r="I3" s="626"/>
      <c r="J3" s="626"/>
      <c r="K3" s="939"/>
      <c r="L3" s="939"/>
      <c r="M3" s="626"/>
      <c r="N3" s="626"/>
      <c r="O3" s="626"/>
      <c r="P3" s="626"/>
    </row>
    <row r="4" spans="1:16" ht="13.5" hidden="1" thickBot="1">
      <c r="A4" s="626"/>
      <c r="B4" s="626"/>
      <c r="C4" s="626"/>
      <c r="D4" s="626"/>
      <c r="E4" s="626"/>
      <c r="F4" s="626"/>
      <c r="G4" s="628" t="s">
        <v>659</v>
      </c>
      <c r="H4" s="629">
        <f>I8*6000</f>
        <v>142578000</v>
      </c>
      <c r="I4" s="867" t="s">
        <v>676</v>
      </c>
      <c r="J4" s="630"/>
      <c r="K4" s="774">
        <v>2008</v>
      </c>
      <c r="L4" s="642">
        <v>22050</v>
      </c>
      <c r="M4" s="626"/>
      <c r="N4" s="626"/>
      <c r="O4" s="626"/>
      <c r="P4" s="626"/>
    </row>
    <row r="5" spans="1:12" ht="15" hidden="1" outlineLevel="1">
      <c r="A5" s="965" t="s">
        <v>82</v>
      </c>
      <c r="B5" s="966"/>
      <c r="C5" s="966"/>
      <c r="D5" s="966"/>
      <c r="E5" s="966"/>
      <c r="F5" s="967"/>
      <c r="G5" s="631"/>
      <c r="H5" s="632"/>
      <c r="I5" s="631"/>
      <c r="J5" s="633"/>
      <c r="K5" s="774">
        <v>2009</v>
      </c>
      <c r="L5" s="642">
        <v>23763</v>
      </c>
    </row>
    <row r="6" spans="1:10" s="636" customFormat="1" ht="79.5" customHeight="1" hidden="1" outlineLevel="1">
      <c r="A6" s="971" t="s">
        <v>32</v>
      </c>
      <c r="B6" s="972"/>
      <c r="C6" s="957" t="str">
        <f>+'PERSONAL Y OTROS'!B6</f>
        <v>INTERVENTORÍA TÉCNICA, ADMINISTRATIVA, FINANCIERA, CONTABLE, AMBIENTAL, SOCIAL  Y  JURÍDICA PARA LA EJECUCIÓN CONDICIONAL POR FASES DEL PROYECTO "MEJORAMIENTO DEL SISTEMA DE ACUEDUCTO SEGÚN PLAN MAESTRO DEL MUNICIPIO DE RONCESVALLES" - FASE III</v>
      </c>
      <c r="D6" s="958"/>
      <c r="E6" s="958"/>
      <c r="F6" s="959"/>
      <c r="G6" s="634"/>
      <c r="H6" s="635" t="s">
        <v>622</v>
      </c>
      <c r="I6" s="640"/>
      <c r="J6" s="627"/>
    </row>
    <row r="7" spans="1:10" ht="15" hidden="1" outlineLevel="1">
      <c r="A7" s="968" t="s">
        <v>112</v>
      </c>
      <c r="B7" s="969"/>
      <c r="C7" s="637"/>
      <c r="D7" s="638"/>
      <c r="E7" s="637"/>
      <c r="F7" s="639">
        <f>ROUND(PorcentajeUtilidad*CostoDirecto,2)</f>
        <v>0</v>
      </c>
      <c r="G7" s="640"/>
      <c r="H7" s="641">
        <v>2008</v>
      </c>
      <c r="I7" s="868">
        <v>22050</v>
      </c>
      <c r="J7" s="642"/>
    </row>
    <row r="8" spans="1:10" ht="15.75" hidden="1" outlineLevel="1" thickBot="1">
      <c r="A8" s="963" t="s">
        <v>113</v>
      </c>
      <c r="B8" s="964"/>
      <c r="C8" s="643"/>
      <c r="D8" s="644">
        <v>0</v>
      </c>
      <c r="E8" s="643"/>
      <c r="F8" s="645">
        <f>DestinoObra</f>
        <v>117451.30664578643</v>
      </c>
      <c r="G8" s="640"/>
      <c r="H8" s="641">
        <v>2009</v>
      </c>
      <c r="I8" s="868">
        <v>23763</v>
      </c>
      <c r="J8" s="642"/>
    </row>
    <row r="9" spans="1:245" ht="13.5" hidden="1" outlineLevel="1" thickBot="1">
      <c r="A9" s="646"/>
      <c r="D9" s="647">
        <f>+F3</f>
        <v>0</v>
      </c>
      <c r="E9" s="647"/>
      <c r="F9" s="648"/>
      <c r="G9" s="640"/>
      <c r="H9" s="632"/>
      <c r="I9" s="640"/>
      <c r="IK9" s="647"/>
    </row>
    <row r="10" spans="1:245" s="636" customFormat="1" ht="15" hidden="1" outlineLevel="1">
      <c r="A10" s="649" t="s">
        <v>106</v>
      </c>
      <c r="B10" s="650"/>
      <c r="C10" s="650"/>
      <c r="D10" s="651">
        <v>117451.30664578643</v>
      </c>
      <c r="E10" s="651">
        <v>0</v>
      </c>
      <c r="F10" s="652">
        <f>SUM(ImpPolizasObra)</f>
        <v>81706.76323774102</v>
      </c>
      <c r="G10" s="653"/>
      <c r="H10" s="654"/>
      <c r="I10" s="653"/>
      <c r="IK10" s="655"/>
    </row>
    <row r="11" spans="1:245" ht="12.75" hidden="1" outlineLevel="1">
      <c r="A11" s="646"/>
      <c r="B11" s="876" t="s">
        <v>251</v>
      </c>
      <c r="C11" s="877">
        <f>VLOOKUP(B11,ATenerEnCuenta,2,0)</f>
        <v>0.004</v>
      </c>
      <c r="D11" s="657">
        <f>+'COSTEO TOTAL OBRA'!D37</f>
        <v>150543001.79135275</v>
      </c>
      <c r="E11" s="657">
        <f>+C11*D10</f>
        <v>469.8052265831457</v>
      </c>
      <c r="F11" s="648"/>
      <c r="G11" s="993" t="s">
        <v>653</v>
      </c>
      <c r="H11" s="632"/>
      <c r="I11" s="640"/>
      <c r="IK11" s="647"/>
    </row>
    <row r="12" spans="1:245" ht="12.75" hidden="1" outlineLevel="1">
      <c r="A12" s="646"/>
      <c r="B12" s="876" t="s">
        <v>250</v>
      </c>
      <c r="C12" s="877">
        <f>VLOOKUP(B12,ATenerEnCuenta,2,0)</f>
        <v>0.0069</v>
      </c>
      <c r="D12" s="657">
        <f>DestinoObra-IVASobreUtilidad</f>
        <v>117451.30664578643</v>
      </c>
      <c r="E12" s="657">
        <f>+C12*D12</f>
        <v>810.4140158559263</v>
      </c>
      <c r="F12" s="648"/>
      <c r="G12" s="993"/>
      <c r="H12" s="632"/>
      <c r="I12" s="640"/>
      <c r="IK12" s="647"/>
    </row>
    <row r="13" spans="1:245" ht="12.75" hidden="1" outlineLevel="1">
      <c r="A13" s="646"/>
      <c r="B13" s="876" t="s">
        <v>608</v>
      </c>
      <c r="C13" s="877">
        <f>VLOOKUP(B13,ATenerEnCuenta,2,0)</f>
        <v>0.05</v>
      </c>
      <c r="D13" s="657">
        <f>DestinoObra-IVASobreUtilidad</f>
        <v>117451.30664578643</v>
      </c>
      <c r="E13" s="657">
        <f>+C13*D13</f>
        <v>5872.565332289322</v>
      </c>
      <c r="F13" s="648"/>
      <c r="G13" s="993"/>
      <c r="H13" s="632"/>
      <c r="I13" s="640"/>
      <c r="IK13" s="647"/>
    </row>
    <row r="14" spans="1:245" ht="12.75" hidden="1" outlineLevel="1">
      <c r="A14" s="646"/>
      <c r="B14" s="631" t="s">
        <v>104</v>
      </c>
      <c r="C14" s="656">
        <v>0</v>
      </c>
      <c r="D14" s="657">
        <f>UtilidadObra</f>
        <v>0</v>
      </c>
      <c r="E14" s="657">
        <f>+C14*D14</f>
        <v>0</v>
      </c>
      <c r="F14" s="648"/>
      <c r="G14" s="993"/>
      <c r="H14" s="632"/>
      <c r="I14" s="640"/>
      <c r="IK14" s="647"/>
    </row>
    <row r="15" spans="1:245" ht="12.75" hidden="1" outlineLevel="1">
      <c r="A15" s="646"/>
      <c r="B15" s="888" t="s">
        <v>129</v>
      </c>
      <c r="C15" s="877">
        <f>VLOOKUP(B15,ATenerEnCuenta,2,0)</f>
        <v>0.16</v>
      </c>
      <c r="D15" s="657">
        <f>UtilidadObra</f>
        <v>0</v>
      </c>
      <c r="E15" s="657">
        <f>+C15*D15</f>
        <v>0</v>
      </c>
      <c r="F15" s="648"/>
      <c r="G15" s="993"/>
      <c r="H15" s="632"/>
      <c r="I15" s="640"/>
      <c r="IK15" s="647"/>
    </row>
    <row r="16" spans="1:245" ht="12.75" hidden="1" outlineLevel="1">
      <c r="A16" s="646"/>
      <c r="B16" s="876" t="s">
        <v>252</v>
      </c>
      <c r="C16" s="877">
        <f>VLOOKUP(B16,ATenerEnCuenta,2,0)</f>
        <v>0.01</v>
      </c>
      <c r="D16" s="657">
        <f>DestinoObra-IVASobreUtilidad</f>
        <v>117451.30664578643</v>
      </c>
      <c r="E16" s="657">
        <f>+C16*D16</f>
        <v>1174.5130664578644</v>
      </c>
      <c r="F16" s="648"/>
      <c r="G16" s="993"/>
      <c r="H16" s="632"/>
      <c r="I16" s="640"/>
      <c r="IK16" s="647"/>
    </row>
    <row r="17" spans="1:245" ht="12.75" hidden="1" outlineLevel="1">
      <c r="A17" s="646"/>
      <c r="B17" s="631" t="s">
        <v>103</v>
      </c>
      <c r="C17" s="656">
        <f>VLOOKUP(B17,ATenerEnCuenta,2,0)</f>
        <v>0</v>
      </c>
      <c r="D17" s="657">
        <f>DestinoObra-IVASobreUtilidad</f>
        <v>117451.30664578643</v>
      </c>
      <c r="E17" s="657">
        <f>IF(D17&gt;$H$4,+D17*C17,0)</f>
        <v>0</v>
      </c>
      <c r="F17" s="648"/>
      <c r="G17" s="993"/>
      <c r="H17" s="632"/>
      <c r="I17" s="640"/>
      <c r="IK17" s="647"/>
    </row>
    <row r="18" spans="1:245" ht="12.75" hidden="1" outlineLevel="1">
      <c r="A18" s="646"/>
      <c r="B18" s="631" t="s">
        <v>609</v>
      </c>
      <c r="C18" s="656">
        <v>0</v>
      </c>
      <c r="D18" s="657">
        <v>0</v>
      </c>
      <c r="E18" s="658">
        <f>+D18</f>
        <v>0</v>
      </c>
      <c r="F18" s="648"/>
      <c r="G18" s="993"/>
      <c r="H18" s="632"/>
      <c r="I18" s="640"/>
      <c r="IK18" s="647"/>
    </row>
    <row r="19" spans="1:245" ht="12.75" hidden="1" outlineLevel="1">
      <c r="A19" s="646"/>
      <c r="B19" s="881" t="s">
        <v>263</v>
      </c>
      <c r="C19" s="882">
        <f aca="true" t="shared" si="0" ref="C19:C24">VLOOKUP(B19,ATenerEnCuenta,2,0)</f>
        <v>0.001</v>
      </c>
      <c r="D19" s="657">
        <f aca="true" t="shared" si="1" ref="D19:D24">DestinoObra*VLOOKUP(B19,ATenerEnCuenta,3,0)</f>
        <v>11745.130664578644</v>
      </c>
      <c r="E19" s="657">
        <f>+IF(C19*D19*1.16&lt;D84,D84,C19*D19*1.16)</f>
        <v>36000</v>
      </c>
      <c r="F19" s="648"/>
      <c r="G19" s="993"/>
      <c r="H19" s="632"/>
      <c r="I19" s="640"/>
      <c r="IK19" s="647"/>
    </row>
    <row r="20" spans="1:245" ht="12.75" hidden="1" outlineLevel="1">
      <c r="A20" s="646"/>
      <c r="B20" s="881" t="s">
        <v>757</v>
      </c>
      <c r="C20" s="882">
        <f t="shared" si="0"/>
        <v>0.003</v>
      </c>
      <c r="D20" s="657">
        <f t="shared" si="1"/>
        <v>0</v>
      </c>
      <c r="E20" s="657">
        <f>+IF(D79&gt;0,IF(F20&lt;$D$84,$D$84,F20),0)</f>
        <v>0</v>
      </c>
      <c r="F20" s="659">
        <f>+C20*D20*(DuracionMeses+VLOOKUP(B20,ATenerEnCuenta,4,0))*1.16/12</f>
        <v>0</v>
      </c>
      <c r="G20" s="993"/>
      <c r="H20" s="632"/>
      <c r="I20" s="640"/>
      <c r="IK20" s="647"/>
    </row>
    <row r="21" spans="1:245" ht="12.75" hidden="1" outlineLevel="1">
      <c r="A21" s="646"/>
      <c r="B21" s="881" t="s">
        <v>259</v>
      </c>
      <c r="C21" s="882">
        <f t="shared" si="0"/>
        <v>0.003</v>
      </c>
      <c r="D21" s="657">
        <f t="shared" si="1"/>
        <v>11745.130664578644</v>
      </c>
      <c r="E21" s="657">
        <f>+IF(F21&lt;$D$84,$D$84,F21)</f>
        <v>36000</v>
      </c>
      <c r="F21" s="659">
        <f>+C21*D21*(DuracionMeses+VLOOKUP(B21,ATenerEnCuenta,4,0))*1.16/12</f>
        <v>34.06087892727806</v>
      </c>
      <c r="G21" s="993"/>
      <c r="H21" s="632"/>
      <c r="I21" s="640"/>
      <c r="IK21" s="647"/>
    </row>
    <row r="22" spans="1:245" ht="12.75" hidden="1" outlineLevel="1">
      <c r="A22" s="646"/>
      <c r="B22" s="881" t="s">
        <v>260</v>
      </c>
      <c r="C22" s="882">
        <f t="shared" si="0"/>
        <v>0.005</v>
      </c>
      <c r="D22" s="657">
        <f t="shared" si="1"/>
        <v>11745.130664578644</v>
      </c>
      <c r="E22" s="657">
        <f>+C22*D22*(DuracionMeses+VLOOKUP(B22,ATenerEnCuenta,4,0))*1.16/12</f>
        <v>238.4261524909465</v>
      </c>
      <c r="F22" s="883"/>
      <c r="G22" s="993"/>
      <c r="H22" s="632"/>
      <c r="I22" s="640"/>
      <c r="IK22" s="647"/>
    </row>
    <row r="23" spans="1:245" ht="12.75" hidden="1" outlineLevel="1">
      <c r="A23" s="646"/>
      <c r="B23" s="881" t="s">
        <v>261</v>
      </c>
      <c r="C23" s="882">
        <f t="shared" si="0"/>
        <v>0.003</v>
      </c>
      <c r="D23" s="657">
        <f t="shared" si="1"/>
        <v>58725.65332289322</v>
      </c>
      <c r="E23" s="657">
        <f>+C23*D23*(DuracionMeses+VLOOKUP(B23,ATenerEnCuenta,4,0))*1.16/12</f>
        <v>1124.009004600176</v>
      </c>
      <c r="F23" s="883"/>
      <c r="G23" s="993"/>
      <c r="H23" s="632"/>
      <c r="I23" s="640"/>
      <c r="IK23" s="647"/>
    </row>
    <row r="24" spans="1:245" ht="12.75" hidden="1" outlineLevel="1">
      <c r="A24" s="646"/>
      <c r="B24" s="881" t="s">
        <v>262</v>
      </c>
      <c r="C24" s="882">
        <f t="shared" si="0"/>
        <v>0.003</v>
      </c>
      <c r="D24" s="657">
        <f t="shared" si="1"/>
        <v>5872.565332289322</v>
      </c>
      <c r="E24" s="657">
        <f>+C24*D24*(DuracionMeses+VLOOKUP(B24,ATenerEnCuenta,4,0))*1.16/12</f>
        <v>17.03043946363903</v>
      </c>
      <c r="F24" s="883">
        <f>+C24*D24*(DuracionMeses+VLOOKUP(B24,ATenerEnCuenta,4,0))*1.16/12</f>
        <v>17.03043946363903</v>
      </c>
      <c r="G24" s="993"/>
      <c r="H24" s="632"/>
      <c r="I24" s="640"/>
      <c r="IK24" s="647"/>
    </row>
    <row r="25" spans="1:245" ht="12.75" hidden="1" outlineLevel="1">
      <c r="A25" s="646"/>
      <c r="B25" s="631"/>
      <c r="C25" s="656"/>
      <c r="D25" s="657"/>
      <c r="E25" s="657"/>
      <c r="F25" s="648"/>
      <c r="G25" s="660"/>
      <c r="H25" s="632"/>
      <c r="I25" s="640"/>
      <c r="IK25" s="647"/>
    </row>
    <row r="26" spans="1:9" ht="12.75" hidden="1" outlineLevel="1">
      <c r="A26" s="646"/>
      <c r="B26" s="640"/>
      <c r="C26" s="661"/>
      <c r="F26" s="662" t="e">
        <f>+IF(E29&lt;0.1,"ok",1)</f>
        <v>#VALUE!</v>
      </c>
      <c r="G26" s="663"/>
      <c r="H26" s="664"/>
      <c r="I26" s="640"/>
    </row>
    <row r="27" spans="1:9" s="671" customFormat="1" ht="18" hidden="1" outlineLevel="1" thickBot="1">
      <c r="A27" s="665" t="s">
        <v>122</v>
      </c>
      <c r="B27" s="666"/>
      <c r="C27" s="666"/>
      <c r="D27" s="667"/>
      <c r="E27" s="666"/>
      <c r="F27" s="668" t="str">
        <f>IF('PERSONAL Y OTROS'!D8&gt;1,"COSTEO DE CONSULTORÍA",TotalContratoConIva)</f>
        <v>COSTEO DE CONSULTORÍA</v>
      </c>
      <c r="G27" s="669"/>
      <c r="H27" s="670"/>
      <c r="I27" s="669"/>
    </row>
    <row r="28" spans="1:256" ht="22.5" customHeight="1" hidden="1" outlineLevel="1">
      <c r="A28" s="991" t="e">
        <f>[3]!pesosmn(OrigenObra)</f>
        <v>#NAME?</v>
      </c>
      <c r="B28" s="992"/>
      <c r="C28" s="992"/>
      <c r="D28" s="992"/>
      <c r="E28" s="992"/>
      <c r="F28" s="672"/>
      <c r="G28" s="640"/>
      <c r="H28" s="632"/>
      <c r="I28" s="640"/>
      <c r="IU28" s="671"/>
      <c r="IV28" s="671"/>
    </row>
    <row r="29" spans="1:9" ht="12.75" hidden="1" outlineLevel="1">
      <c r="A29" s="646"/>
      <c r="B29" s="673" t="s">
        <v>119</v>
      </c>
      <c r="C29" s="674">
        <f>+_xlfn.IFERROR(IF(E29&lt;0.1,"ok","Verifique el Valor del Contrato"),1)</f>
        <v>1</v>
      </c>
      <c r="D29" s="675"/>
      <c r="E29" s="676" t="e">
        <f>ABS(DestinoObra-OrigenObra)</f>
        <v>#VALUE!</v>
      </c>
      <c r="F29" s="677"/>
      <c r="G29" s="640"/>
      <c r="H29" s="632"/>
      <c r="I29" s="640"/>
    </row>
    <row r="30" spans="1:9" ht="13.5" hidden="1" outlineLevel="1" thickBot="1">
      <c r="A30" s="646"/>
      <c r="B30" s="673" t="s">
        <v>119</v>
      </c>
      <c r="C30" s="674" t="str">
        <f>+IF(D14=F7,"ok","Verifique el Valor de la Utilidad")</f>
        <v>ok</v>
      </c>
      <c r="D30" s="675"/>
      <c r="E30" s="678"/>
      <c r="F30" s="677"/>
      <c r="G30" s="640"/>
      <c r="H30" s="632"/>
      <c r="I30" s="640"/>
    </row>
    <row r="31" spans="1:9" ht="19.5" hidden="1" thickBot="1">
      <c r="A31" s="679"/>
      <c r="B31" s="680"/>
      <c r="C31" s="680"/>
      <c r="D31" s="681"/>
      <c r="E31" s="680"/>
      <c r="F31" s="682"/>
      <c r="G31" s="683" t="s">
        <v>673</v>
      </c>
      <c r="H31" s="684">
        <f>497000-100</f>
        <v>496900</v>
      </c>
      <c r="I31" s="867" t="s">
        <v>676</v>
      </c>
    </row>
    <row r="32" spans="1:9" ht="26.25" customHeight="1">
      <c r="A32" s="685"/>
      <c r="B32" s="869">
        <f>+D39</f>
        <v>180958550</v>
      </c>
      <c r="G32" s="686"/>
      <c r="H32" s="866"/>
      <c r="I32" s="630"/>
    </row>
    <row r="33" ht="13.5" thickBot="1"/>
    <row r="34" spans="1:6" ht="15" outlineLevel="1">
      <c r="A34" s="965" t="str">
        <f>C51</f>
        <v>INTERVENTORÍA</v>
      </c>
      <c r="B34" s="966"/>
      <c r="C34" s="966"/>
      <c r="D34" s="966"/>
      <c r="E34" s="966"/>
      <c r="F34" s="967"/>
    </row>
    <row r="35" spans="1:6" ht="37.5" customHeight="1" outlineLevel="1">
      <c r="A35" s="971" t="s">
        <v>32</v>
      </c>
      <c r="B35" s="972"/>
      <c r="C35" s="960" t="str">
        <f>+'PERSONAL Y OTROS'!B6</f>
        <v>INTERVENTORÍA TÉCNICA, ADMINISTRATIVA, FINANCIERA, CONTABLE, AMBIENTAL, SOCIAL  Y  JURÍDICA PARA LA EJECUCIÓN CONDICIONAL POR FASES DEL PROYECTO "MEJORAMIENTO DEL SISTEMA DE ACUEDUCTO SEGÚN PLAN MAESTRO DEL MUNICIPIO DE RONCESVALLES" - FASE III</v>
      </c>
      <c r="D35" s="961"/>
      <c r="E35" s="961"/>
      <c r="F35" s="962"/>
    </row>
    <row r="36" spans="1:6" ht="15.75" outlineLevel="1" thickBot="1">
      <c r="A36" s="963" t="s">
        <v>123</v>
      </c>
      <c r="B36" s="964"/>
      <c r="C36" s="687"/>
      <c r="D36" s="688"/>
      <c r="E36" s="687"/>
      <c r="F36" s="689">
        <f>TotalPaginaPersonal</f>
        <v>150461295.028115</v>
      </c>
    </row>
    <row r="37" spans="1:6" ht="13.5" outlineLevel="1" thickBot="1">
      <c r="A37" s="646"/>
      <c r="E37" s="647"/>
      <c r="F37" s="648"/>
    </row>
    <row r="38" spans="1:7" ht="15" outlineLevel="1">
      <c r="A38" s="649" t="s">
        <v>106</v>
      </c>
      <c r="B38" s="650"/>
      <c r="C38" s="650"/>
      <c r="D38" s="651"/>
      <c r="E38" s="651"/>
      <c r="F38" s="652">
        <f>SUM(ImpPolizasConsultoria)</f>
        <v>30497258.349499997</v>
      </c>
      <c r="G38" s="690"/>
    </row>
    <row r="39" spans="1:7" ht="51" customHeight="1" outlineLevel="1">
      <c r="A39" s="646"/>
      <c r="B39" s="876" t="s">
        <v>251</v>
      </c>
      <c r="C39" s="877">
        <f>VLOOKUP(B39,ATenerEnCuenta,2,0)</f>
        <v>0.004</v>
      </c>
      <c r="D39" s="657">
        <f>DestinoConsultoria</f>
        <v>180958550</v>
      </c>
      <c r="E39" s="657">
        <f>+C39*D39</f>
        <v>723834.2000000001</v>
      </c>
      <c r="F39" s="691"/>
      <c r="G39" s="988" t="s">
        <v>653</v>
      </c>
    </row>
    <row r="40" spans="1:7" ht="12.75" outlineLevel="1">
      <c r="A40" s="646"/>
      <c r="B40" s="876" t="s">
        <v>250</v>
      </c>
      <c r="C40" s="877">
        <f aca="true" t="shared" si="2" ref="C40:C47">VLOOKUP(B40,ATenerEnCuenta,2,0)</f>
        <v>0.0069</v>
      </c>
      <c r="D40" s="657">
        <f>+DestinoConsultoria-IVAConsultoria</f>
        <v>155998750</v>
      </c>
      <c r="E40" s="657">
        <f>+C40*D40</f>
        <v>1076391.375</v>
      </c>
      <c r="F40" s="691"/>
      <c r="G40" s="989"/>
    </row>
    <row r="41" spans="1:7" ht="12.75" outlineLevel="1">
      <c r="A41" s="646"/>
      <c r="B41" s="876" t="s">
        <v>120</v>
      </c>
      <c r="C41" s="877">
        <f t="shared" si="2"/>
        <v>0.16</v>
      </c>
      <c r="D41" s="657">
        <f>+DestinoConsultoria/(1+C41)</f>
        <v>155998750</v>
      </c>
      <c r="E41" s="657">
        <f>+C41*D41</f>
        <v>24959800</v>
      </c>
      <c r="F41" s="884"/>
      <c r="G41" s="989"/>
    </row>
    <row r="42" spans="1:7" ht="12.75" outlineLevel="1">
      <c r="A42" s="646"/>
      <c r="B42" s="876" t="s">
        <v>253</v>
      </c>
      <c r="C42" s="877">
        <f t="shared" si="2"/>
        <v>0.02</v>
      </c>
      <c r="D42" s="657">
        <f>+DestinoConsultoria-IVAConsultoria</f>
        <v>155998750</v>
      </c>
      <c r="E42" s="657">
        <f>+C42*D42</f>
        <v>3119975</v>
      </c>
      <c r="F42" s="884"/>
      <c r="G42" s="989"/>
    </row>
    <row r="43" spans="1:8" ht="12.75" outlineLevel="1">
      <c r="A43" s="646"/>
      <c r="B43" s="631" t="s">
        <v>103</v>
      </c>
      <c r="C43" s="656">
        <f t="shared" si="2"/>
        <v>0</v>
      </c>
      <c r="D43" s="657">
        <f>+DestinoConsultoria-IVAConsultoria</f>
        <v>155998750</v>
      </c>
      <c r="E43" s="657">
        <f>IF(D43&gt;$H$4,+D43*C43,0)</f>
        <v>0</v>
      </c>
      <c r="F43" s="884"/>
      <c r="G43" s="989"/>
      <c r="H43" s="692"/>
    </row>
    <row r="44" spans="1:9" ht="12.75" outlineLevel="1">
      <c r="A44" s="646"/>
      <c r="B44" s="876" t="s">
        <v>263</v>
      </c>
      <c r="C44" s="877">
        <f t="shared" si="2"/>
        <v>0.001</v>
      </c>
      <c r="D44" s="657">
        <f>DestinoConsultoria*VLOOKUP(B44,ATenerEnCuenta,3,0)</f>
        <v>18095855</v>
      </c>
      <c r="E44" s="657">
        <f>IF(F44&lt;36000,40000,F44)</f>
        <v>40000</v>
      </c>
      <c r="F44" s="885">
        <f>+C44*D44*1.16</f>
        <v>20991.191799999997</v>
      </c>
      <c r="G44" s="989"/>
      <c r="H44" s="693"/>
      <c r="I44" s="694"/>
    </row>
    <row r="45" spans="1:9" ht="25.5" outlineLevel="1">
      <c r="A45" s="646"/>
      <c r="B45" s="631" t="s">
        <v>609</v>
      </c>
      <c r="C45" s="656">
        <v>0</v>
      </c>
      <c r="D45" s="657">
        <v>0</v>
      </c>
      <c r="E45" s="657">
        <f>+C45*D45</f>
        <v>0</v>
      </c>
      <c r="F45" s="886">
        <f>+SUM(F46:F48)</f>
        <v>577257.7745</v>
      </c>
      <c r="G45" s="989"/>
      <c r="H45" s="695" t="s">
        <v>720</v>
      </c>
      <c r="I45" s="696">
        <f>IF(F45&lt;36000,36000,F45)</f>
        <v>577257.7745</v>
      </c>
    </row>
    <row r="46" spans="1:9" ht="12.75" outlineLevel="1">
      <c r="A46" s="697"/>
      <c r="B46" s="881" t="s">
        <v>259</v>
      </c>
      <c r="C46" s="882">
        <f t="shared" si="2"/>
        <v>0.003</v>
      </c>
      <c r="D46" s="887">
        <f>DestinoConsultoria*VLOOKUP(B46,ATenerEnCuenta,3,0)</f>
        <v>18095855</v>
      </c>
      <c r="E46" s="657">
        <f>+I46</f>
        <v>52477.979499999994</v>
      </c>
      <c r="F46" s="885">
        <f>+C46*D46*(DuracionMeses+VLOOKUP(B46,ATenerEnCuenta,4,0))*1.16/12</f>
        <v>52477.979499999994</v>
      </c>
      <c r="G46" s="989"/>
      <c r="H46" s="698">
        <f>+F46/$F$45</f>
        <v>0.09090909090909088</v>
      </c>
      <c r="I46" s="699">
        <f>+H46*$I$45</f>
        <v>52477.979499999994</v>
      </c>
    </row>
    <row r="47" spans="1:9" ht="12.75" outlineLevel="1">
      <c r="A47" s="697"/>
      <c r="B47" s="881" t="s">
        <v>260</v>
      </c>
      <c r="C47" s="882">
        <f t="shared" si="2"/>
        <v>0.005</v>
      </c>
      <c r="D47" s="887">
        <f>DestinoConsultoria*VLOOKUP(B47,ATenerEnCuenta,3,0)</f>
        <v>18095855</v>
      </c>
      <c r="E47" s="657">
        <f>+I47</f>
        <v>367345.8565</v>
      </c>
      <c r="F47" s="885">
        <f>+C47*D47*(DuracionMeses+VLOOKUP(B47,ATenerEnCuenta,4,0))*1.16/12</f>
        <v>367345.8565</v>
      </c>
      <c r="G47" s="989"/>
      <c r="H47" s="698">
        <f>+F47/$F$45</f>
        <v>0.6363636363636362</v>
      </c>
      <c r="I47" s="699">
        <f>+H47*$I$45</f>
        <v>367345.8565</v>
      </c>
    </row>
    <row r="48" spans="1:9" ht="12.75" outlineLevel="1">
      <c r="A48" s="697"/>
      <c r="B48" s="881" t="s">
        <v>267</v>
      </c>
      <c r="C48" s="882">
        <f>VLOOKUP(B48,ATenerEnCuenta,2,0)</f>
        <v>0.003</v>
      </c>
      <c r="D48" s="887">
        <f>DestinoConsultoria*VLOOKUP(B48,ATenerEnCuenta,3,0)</f>
        <v>54287565</v>
      </c>
      <c r="E48" s="657">
        <f>+I48</f>
        <v>157433.93850000002</v>
      </c>
      <c r="F48" s="885">
        <f>+C48*D48*(DuracionMeses+VLOOKUP(B48,ATenerEnCuenta,4,0))*1.16/12</f>
        <v>157433.93850000002</v>
      </c>
      <c r="G48" s="989"/>
      <c r="H48" s="700">
        <f>+F48/$F$45</f>
        <v>0.2727272727272727</v>
      </c>
      <c r="I48" s="701">
        <f>+H48*$I$45</f>
        <v>157433.93850000002</v>
      </c>
    </row>
    <row r="49" spans="1:7" ht="12.75" outlineLevel="1">
      <c r="A49" s="646"/>
      <c r="B49" s="631"/>
      <c r="C49" s="656"/>
      <c r="D49" s="657"/>
      <c r="E49" s="657"/>
      <c r="F49" s="884"/>
      <c r="G49" s="989"/>
    </row>
    <row r="50" spans="1:7" ht="12.75" outlineLevel="1">
      <c r="A50" s="646"/>
      <c r="D50" s="627"/>
      <c r="F50" s="691"/>
      <c r="G50" s="990"/>
    </row>
    <row r="51" spans="1:256" s="671" customFormat="1" ht="18" outlineLevel="1" thickBot="1">
      <c r="A51" s="665" t="s">
        <v>167</v>
      </c>
      <c r="B51" s="666"/>
      <c r="C51" s="666" t="str">
        <f>+IF('PERSONAL Y OTROS'!D8=2,"INTERVENTORÍA","CONSULTORÍA")</f>
        <v>INTERVENTORÍA</v>
      </c>
      <c r="D51" s="667"/>
      <c r="E51" s="666"/>
      <c r="F51" s="668">
        <f>IF('PERSONAL Y OTROS'!D8=1,"COSTEO DE OBRA",ROUND((F36+F38),-1))</f>
        <v>180958550</v>
      </c>
      <c r="G51" s="627"/>
      <c r="IU51" s="627"/>
      <c r="IV51" s="627"/>
    </row>
    <row r="52" spans="1:256" ht="17.25" outlineLevel="1">
      <c r="A52" s="646"/>
      <c r="E52" s="702"/>
      <c r="F52" s="703">
        <v>180958550</v>
      </c>
      <c r="IU52" s="671"/>
      <c r="IV52" s="671"/>
    </row>
    <row r="53" spans="1:6" ht="15.75" customHeight="1" outlineLevel="1">
      <c r="A53" s="975" t="e">
        <f>UPPER([3]!pesosmn(OrigenConsultoria))</f>
        <v>#NAME?</v>
      </c>
      <c r="B53" s="976"/>
      <c r="C53" s="976"/>
      <c r="D53" s="976"/>
      <c r="E53" s="976"/>
      <c r="F53" s="977"/>
    </row>
    <row r="54" spans="1:6" ht="12.75" outlineLevel="1">
      <c r="A54" s="646"/>
      <c r="B54" s="673" t="s">
        <v>119</v>
      </c>
      <c r="C54" s="674" t="str">
        <f>+IF(E54&lt;0.1,"ok","Verifique el Valor del Contrato")</f>
        <v>ok</v>
      </c>
      <c r="E54" s="704">
        <f>+ABS(F52-IF(F51="COSTEO DE OBRA",0,F51))</f>
        <v>0</v>
      </c>
      <c r="F54" s="648"/>
    </row>
    <row r="55" spans="1:7" ht="19.5" thickBot="1">
      <c r="A55" s="679"/>
      <c r="B55" s="680"/>
      <c r="C55" s="680"/>
      <c r="D55" s="681"/>
      <c r="E55" s="705"/>
      <c r="F55" s="682"/>
      <c r="G55" s="655"/>
    </row>
    <row r="56" spans="1:8" ht="21.75" customHeight="1">
      <c r="A56" s="706"/>
      <c r="G56" s="655"/>
      <c r="H56" s="707"/>
    </row>
    <row r="57" spans="1:7" ht="12.75">
      <c r="A57" s="708" t="s">
        <v>628</v>
      </c>
      <c r="B57" s="709"/>
      <c r="C57" s="710" t="str">
        <f>'INFORMACION DEL FP'!C30</f>
        <v>DLOPEZ</v>
      </c>
      <c r="D57" s="711"/>
      <c r="G57" s="655"/>
    </row>
    <row r="58" ht="12.75"/>
    <row r="59" ht="12.75"/>
    <row r="60" ht="12.75" hidden="1"/>
    <row r="61" ht="30.75" customHeight="1"/>
    <row r="62" ht="12.75"/>
    <row r="63" ht="13.5" thickBot="1">
      <c r="G63" s="712"/>
    </row>
    <row r="64" spans="1:7" ht="12.75">
      <c r="A64" s="713" t="s">
        <v>721</v>
      </c>
      <c r="B64" s="978" t="s">
        <v>654</v>
      </c>
      <c r="C64" s="979"/>
      <c r="D64" s="979"/>
      <c r="E64" s="980"/>
      <c r="G64" s="714" t="s">
        <v>616</v>
      </c>
    </row>
    <row r="65" spans="1:8" ht="13.5" thickBot="1">
      <c r="A65" s="713" t="s">
        <v>722</v>
      </c>
      <c r="B65" s="715" t="s">
        <v>133</v>
      </c>
      <c r="C65" s="716" t="s">
        <v>264</v>
      </c>
      <c r="D65" s="717" t="s">
        <v>265</v>
      </c>
      <c r="E65" s="718" t="s">
        <v>765</v>
      </c>
      <c r="G65" s="719">
        <f>+DuracionMeses</f>
        <v>6</v>
      </c>
      <c r="H65" s="627" t="s">
        <v>617</v>
      </c>
    </row>
    <row r="66" spans="1:5" ht="12.75">
      <c r="A66" s="713" t="s">
        <v>723</v>
      </c>
      <c r="B66" s="720" t="s">
        <v>52</v>
      </c>
      <c r="C66" s="721">
        <v>0.005</v>
      </c>
      <c r="D66" s="722">
        <v>50</v>
      </c>
      <c r="E66" s="723"/>
    </row>
    <row r="67" spans="1:5" ht="12.75">
      <c r="A67" s="724"/>
      <c r="B67" s="725" t="s">
        <v>129</v>
      </c>
      <c r="C67" s="726">
        <v>0.16</v>
      </c>
      <c r="D67" s="727">
        <v>1</v>
      </c>
      <c r="E67" s="728"/>
    </row>
    <row r="68" spans="1:5" ht="12.75">
      <c r="A68" s="724"/>
      <c r="B68" s="725" t="s">
        <v>104</v>
      </c>
      <c r="C68" s="726">
        <v>0.34</v>
      </c>
      <c r="D68" s="727">
        <v>1</v>
      </c>
      <c r="E68" s="728"/>
    </row>
    <row r="69" spans="1:5" ht="12.75">
      <c r="A69" s="724"/>
      <c r="B69" s="725" t="s">
        <v>252</v>
      </c>
      <c r="C69" s="726">
        <v>0.01</v>
      </c>
      <c r="D69" s="727">
        <v>1</v>
      </c>
      <c r="E69" s="728"/>
    </row>
    <row r="70" spans="1:6" ht="14.25">
      <c r="A70" s="729">
        <f>+IF(H1&gt;2009,0,IF(B88&gt;H4,0.005,0))</f>
        <v>0.005</v>
      </c>
      <c r="B70" s="725" t="s">
        <v>103</v>
      </c>
      <c r="C70" s="730">
        <v>0</v>
      </c>
      <c r="D70" s="727">
        <v>1</v>
      </c>
      <c r="E70" s="728"/>
      <c r="F70" s="731" t="s">
        <v>671</v>
      </c>
    </row>
    <row r="71" spans="1:5" ht="12.75">
      <c r="A71" s="724"/>
      <c r="B71" s="725" t="s">
        <v>251</v>
      </c>
      <c r="C71" s="732">
        <f>4/1000</f>
        <v>0.004</v>
      </c>
      <c r="D71" s="727">
        <v>1</v>
      </c>
      <c r="E71" s="728"/>
    </row>
    <row r="72" spans="1:5" ht="12.75">
      <c r="A72" s="724"/>
      <c r="B72" s="725" t="s">
        <v>250</v>
      </c>
      <c r="C72" s="733">
        <v>0.0069</v>
      </c>
      <c r="D72" s="727">
        <v>1</v>
      </c>
      <c r="E72" s="728"/>
    </row>
    <row r="73" spans="1:6" ht="14.25">
      <c r="A73" s="734" t="str">
        <f>IF(TipoCosteo=1,"5,0%","0,0%")</f>
        <v>0,0%</v>
      </c>
      <c r="B73" s="725" t="s">
        <v>608</v>
      </c>
      <c r="C73" s="735">
        <v>0.05</v>
      </c>
      <c r="D73" s="727">
        <v>1</v>
      </c>
      <c r="E73" s="728"/>
      <c r="F73" s="731" t="s">
        <v>644</v>
      </c>
    </row>
    <row r="74" spans="1:11" ht="12.75">
      <c r="A74" s="724"/>
      <c r="B74" s="725" t="s">
        <v>120</v>
      </c>
      <c r="C74" s="736">
        <v>0.16</v>
      </c>
      <c r="D74" s="727">
        <v>1</v>
      </c>
      <c r="E74" s="728"/>
      <c r="F74" s="731" t="s">
        <v>675</v>
      </c>
      <c r="G74" s="737"/>
      <c r="H74" s="737"/>
      <c r="I74" s="737"/>
      <c r="J74" s="737"/>
      <c r="K74" s="737"/>
    </row>
    <row r="75" spans="1:11" ht="12.75">
      <c r="A75" s="724"/>
      <c r="B75" s="725" t="s">
        <v>253</v>
      </c>
      <c r="C75" s="726">
        <v>0.02</v>
      </c>
      <c r="D75" s="727">
        <v>1</v>
      </c>
      <c r="E75" s="728"/>
      <c r="F75" s="738"/>
      <c r="G75" s="739"/>
      <c r="H75" s="737"/>
      <c r="I75" s="737"/>
      <c r="J75" s="737"/>
      <c r="K75" s="737"/>
    </row>
    <row r="76" spans="1:13" ht="15">
      <c r="A76" s="740">
        <f>+D92</f>
        <v>1337900</v>
      </c>
      <c r="B76" s="725" t="s">
        <v>609</v>
      </c>
      <c r="C76" s="801">
        <f>+IF($B$88&gt;F76,100%,0)</f>
        <v>1</v>
      </c>
      <c r="D76" s="741">
        <f>D92</f>
        <v>1337900</v>
      </c>
      <c r="E76" s="728"/>
      <c r="F76" s="983">
        <v>53560000</v>
      </c>
      <c r="G76" s="984"/>
      <c r="H76" s="984"/>
      <c r="I76" s="984"/>
      <c r="J76" s="742"/>
      <c r="K76" s="742"/>
      <c r="L76" s="742"/>
      <c r="M76" s="742"/>
    </row>
    <row r="77" spans="1:11" ht="12.75">
      <c r="A77" s="724"/>
      <c r="B77" s="725" t="s">
        <v>261</v>
      </c>
      <c r="C77" s="878">
        <v>0.003</v>
      </c>
      <c r="D77" s="879">
        <v>0.5</v>
      </c>
      <c r="E77" s="880">
        <v>60</v>
      </c>
      <c r="F77" s="744" t="s">
        <v>802</v>
      </c>
      <c r="G77" s="739"/>
      <c r="H77" s="737"/>
      <c r="I77" s="737"/>
      <c r="J77" s="737"/>
      <c r="K77" s="737"/>
    </row>
    <row r="78" spans="1:11" ht="12.75">
      <c r="A78" s="724"/>
      <c r="B78" s="725" t="s">
        <v>260</v>
      </c>
      <c r="C78" s="878">
        <v>0.005</v>
      </c>
      <c r="D78" s="923">
        <v>0.1</v>
      </c>
      <c r="E78" s="924">
        <v>36</v>
      </c>
      <c r="F78" s="926" t="s">
        <v>758</v>
      </c>
      <c r="G78" s="745">
        <f>+G65+36</f>
        <v>42</v>
      </c>
      <c r="H78" s="737"/>
      <c r="I78" s="737"/>
      <c r="J78" s="737"/>
      <c r="K78" s="737"/>
    </row>
    <row r="79" spans="1:11" ht="12.75">
      <c r="A79" s="724"/>
      <c r="B79" s="725" t="s">
        <v>757</v>
      </c>
      <c r="C79" s="878">
        <v>0.003</v>
      </c>
      <c r="D79" s="879">
        <v>0</v>
      </c>
      <c r="E79" s="880">
        <v>0</v>
      </c>
      <c r="F79" s="746" t="s">
        <v>679</v>
      </c>
      <c r="G79" s="746"/>
      <c r="H79" s="747"/>
      <c r="I79" s="748"/>
      <c r="J79" s="748"/>
      <c r="K79" s="749"/>
    </row>
    <row r="80" spans="1:11" ht="12.75">
      <c r="A80" s="724"/>
      <c r="B80" s="725" t="s">
        <v>259</v>
      </c>
      <c r="C80" s="878">
        <v>0.003</v>
      </c>
      <c r="D80" s="923">
        <v>0.1</v>
      </c>
      <c r="E80" s="924">
        <v>4</v>
      </c>
      <c r="F80" s="925" t="s">
        <v>801</v>
      </c>
      <c r="G80" s="745">
        <f>+G65+4</f>
        <v>10</v>
      </c>
      <c r="H80" s="737"/>
      <c r="I80" s="737"/>
      <c r="J80" s="737"/>
      <c r="K80" s="737"/>
    </row>
    <row r="81" spans="1:11" ht="12.75">
      <c r="A81" s="724"/>
      <c r="B81" s="725" t="s">
        <v>267</v>
      </c>
      <c r="C81" s="878">
        <v>0.003</v>
      </c>
      <c r="D81" s="923">
        <v>0.3</v>
      </c>
      <c r="E81" s="924">
        <v>4</v>
      </c>
      <c r="F81" s="925" t="s">
        <v>801</v>
      </c>
      <c r="G81" s="745">
        <f>3*12</f>
        <v>36</v>
      </c>
      <c r="H81" s="737"/>
      <c r="I81" s="737"/>
      <c r="J81" s="737"/>
      <c r="K81" s="737"/>
    </row>
    <row r="82" spans="1:11" ht="12.75">
      <c r="A82" s="724"/>
      <c r="B82" s="725" t="s">
        <v>262</v>
      </c>
      <c r="C82" s="878">
        <v>0.003</v>
      </c>
      <c r="D82" s="923">
        <v>0.05</v>
      </c>
      <c r="E82" s="924">
        <v>4</v>
      </c>
      <c r="F82" s="927" t="s">
        <v>677</v>
      </c>
      <c r="G82" s="751"/>
      <c r="H82" s="737"/>
      <c r="I82" s="737"/>
      <c r="J82" s="737"/>
      <c r="K82" s="737"/>
    </row>
    <row r="83" spans="1:11" ht="12.75">
      <c r="A83" s="724"/>
      <c r="B83" s="725" t="s">
        <v>263</v>
      </c>
      <c r="C83" s="790">
        <v>0.001</v>
      </c>
      <c r="D83" s="752">
        <v>0.1</v>
      </c>
      <c r="E83" s="924">
        <v>4</v>
      </c>
      <c r="F83" s="750" t="s">
        <v>643</v>
      </c>
      <c r="G83" s="739"/>
      <c r="H83" s="737"/>
      <c r="I83" s="737"/>
      <c r="J83" s="737"/>
      <c r="K83" s="737"/>
    </row>
    <row r="84" spans="1:11" ht="15" customHeight="1" thickBot="1">
      <c r="A84" s="724"/>
      <c r="B84" s="981">
        <f>+H1</f>
        <v>0</v>
      </c>
      <c r="C84" s="982"/>
      <c r="D84" s="753">
        <v>36000</v>
      </c>
      <c r="E84" s="754"/>
      <c r="F84" s="750"/>
      <c r="G84" s="739"/>
      <c r="H84" s="737"/>
      <c r="I84" s="737"/>
      <c r="J84" s="737"/>
      <c r="K84" s="737"/>
    </row>
    <row r="85" spans="6:11" ht="6" customHeight="1">
      <c r="F85" s="755"/>
      <c r="G85" s="737"/>
      <c r="H85" s="985"/>
      <c r="I85" s="985"/>
      <c r="J85" s="756"/>
      <c r="K85" s="756"/>
    </row>
    <row r="86" spans="6:11" ht="6.75" customHeight="1">
      <c r="F86" s="755"/>
      <c r="G86" s="757"/>
      <c r="H86" s="758"/>
      <c r="I86" s="759"/>
      <c r="J86" s="759"/>
      <c r="K86" s="760"/>
    </row>
    <row r="87" spans="6:11" ht="3.75" customHeight="1">
      <c r="F87" s="755"/>
      <c r="G87" s="737"/>
      <c r="H87" s="758"/>
      <c r="I87" s="759"/>
      <c r="J87" s="759"/>
      <c r="K87" s="760"/>
    </row>
    <row r="88" spans="1:11" ht="30" customHeight="1">
      <c r="A88" s="761" t="s">
        <v>724</v>
      </c>
      <c r="B88" s="627">
        <f>IF(TipoCosteo=1,TotalContratoConIva,COSTEO!I110)</f>
        <v>180958550</v>
      </c>
      <c r="I88" s="759"/>
      <c r="J88" s="759"/>
      <c r="K88" s="760"/>
    </row>
    <row r="89" spans="6:11" ht="5.25" customHeight="1">
      <c r="F89" s="627"/>
      <c r="I89" s="759"/>
      <c r="J89" s="759"/>
      <c r="K89" s="760"/>
    </row>
    <row r="90" ht="4.5" customHeight="1">
      <c r="F90" s="627"/>
    </row>
    <row r="91" ht="12.75">
      <c r="A91" s="636" t="s">
        <v>763</v>
      </c>
    </row>
    <row r="92" spans="1:6" ht="12.75">
      <c r="A92" s="762" t="s">
        <v>618</v>
      </c>
      <c r="B92" s="762" t="s">
        <v>619</v>
      </c>
      <c r="C92" s="762" t="s">
        <v>621</v>
      </c>
      <c r="D92" s="763">
        <f>+IF($B$88&gt;F76,SUM($D93:$D123),0)</f>
        <v>1337900</v>
      </c>
      <c r="E92" s="764">
        <f>+IF(B129&gt;0,SUM(E93:E123),"")</f>
      </c>
      <c r="F92" s="872">
        <f>+SUM(D93:D123)</f>
        <v>1337900</v>
      </c>
    </row>
    <row r="93" spans="1:5" ht="12.75" outlineLevel="1">
      <c r="A93" s="765" t="s">
        <v>620</v>
      </c>
      <c r="B93" s="765"/>
      <c r="C93" s="766">
        <v>33900</v>
      </c>
      <c r="D93" s="770">
        <f aca="true" t="shared" si="3" ref="D93:D107">+IF(AND($B$88&gt;=A93,$B$88&lt;=B93),C93,0)</f>
        <v>0</v>
      </c>
      <c r="E93" s="767"/>
    </row>
    <row r="94" spans="1:5" ht="12.75" outlineLevel="1">
      <c r="A94" s="768">
        <v>1</v>
      </c>
      <c r="B94" s="769">
        <v>1000000</v>
      </c>
      <c r="C94" s="766">
        <v>33900</v>
      </c>
      <c r="D94" s="770">
        <f t="shared" si="3"/>
        <v>0</v>
      </c>
      <c r="E94" s="770">
        <f aca="true" t="shared" si="4" ref="E94:E123">+IF($B$129&gt;=$A94,IF($B$129&lt;=$B94,$C94,0),0)</f>
        <v>0</v>
      </c>
    </row>
    <row r="95" spans="1:5" ht="12.75" outlineLevel="1">
      <c r="A95" s="769">
        <v>1000001</v>
      </c>
      <c r="B95" s="769">
        <v>1400000</v>
      </c>
      <c r="C95" s="766">
        <v>59800</v>
      </c>
      <c r="D95" s="770">
        <f t="shared" si="3"/>
        <v>0</v>
      </c>
      <c r="E95" s="770">
        <f t="shared" si="4"/>
        <v>0</v>
      </c>
    </row>
    <row r="96" spans="1:7" ht="12.75" outlineLevel="1">
      <c r="A96" s="769">
        <v>1400001</v>
      </c>
      <c r="B96" s="769">
        <v>1800000</v>
      </c>
      <c r="C96" s="766">
        <v>86500</v>
      </c>
      <c r="D96" s="770">
        <f t="shared" si="3"/>
        <v>0</v>
      </c>
      <c r="E96" s="770">
        <f t="shared" si="4"/>
        <v>0</v>
      </c>
      <c r="G96" s="871"/>
    </row>
    <row r="97" spans="1:5" ht="12.75" outlineLevel="1">
      <c r="A97" s="769">
        <v>1800001</v>
      </c>
      <c r="B97" s="769">
        <v>2200000</v>
      </c>
      <c r="C97" s="766">
        <v>116500</v>
      </c>
      <c r="D97" s="770">
        <f t="shared" si="3"/>
        <v>0</v>
      </c>
      <c r="E97" s="770">
        <f t="shared" si="4"/>
        <v>0</v>
      </c>
    </row>
    <row r="98" spans="1:5" ht="12.75" outlineLevel="1">
      <c r="A98" s="769">
        <v>2200001</v>
      </c>
      <c r="B98" s="769">
        <v>2600000</v>
      </c>
      <c r="C98" s="766">
        <v>142400</v>
      </c>
      <c r="D98" s="770">
        <f t="shared" si="3"/>
        <v>0</v>
      </c>
      <c r="E98" s="770">
        <f t="shared" si="4"/>
        <v>0</v>
      </c>
    </row>
    <row r="99" spans="1:5" ht="12.75" outlineLevel="1">
      <c r="A99" s="769">
        <v>2600001</v>
      </c>
      <c r="B99" s="769">
        <v>3000000</v>
      </c>
      <c r="C99" s="766">
        <v>172700</v>
      </c>
      <c r="D99" s="770">
        <f t="shared" si="3"/>
        <v>0</v>
      </c>
      <c r="E99" s="770">
        <f t="shared" si="4"/>
        <v>0</v>
      </c>
    </row>
    <row r="100" spans="1:5" ht="12.75" outlineLevel="1">
      <c r="A100" s="769">
        <v>3000001</v>
      </c>
      <c r="B100" s="769">
        <v>4000000</v>
      </c>
      <c r="C100" s="766">
        <v>185500</v>
      </c>
      <c r="D100" s="770">
        <f t="shared" si="3"/>
        <v>0</v>
      </c>
      <c r="E100" s="770">
        <f t="shared" si="4"/>
        <v>0</v>
      </c>
    </row>
    <row r="101" spans="1:5" ht="12.75" outlineLevel="1">
      <c r="A101" s="769">
        <v>4000001</v>
      </c>
      <c r="B101" s="769">
        <v>5000000</v>
      </c>
      <c r="C101" s="766">
        <v>198800</v>
      </c>
      <c r="D101" s="770">
        <f t="shared" si="3"/>
        <v>0</v>
      </c>
      <c r="E101" s="770">
        <f t="shared" si="4"/>
        <v>0</v>
      </c>
    </row>
    <row r="102" spans="1:5" ht="12.75" outlineLevel="1">
      <c r="A102" s="769">
        <v>5000001</v>
      </c>
      <c r="B102" s="769">
        <v>7000000</v>
      </c>
      <c r="C102" s="766">
        <v>217400</v>
      </c>
      <c r="D102" s="770">
        <f t="shared" si="3"/>
        <v>0</v>
      </c>
      <c r="E102" s="770">
        <f t="shared" si="4"/>
        <v>0</v>
      </c>
    </row>
    <row r="103" spans="1:5" ht="12.75" outlineLevel="1">
      <c r="A103" s="769">
        <v>7000001</v>
      </c>
      <c r="B103" s="769">
        <v>9000000</v>
      </c>
      <c r="C103" s="766">
        <v>259100</v>
      </c>
      <c r="D103" s="770">
        <f t="shared" si="3"/>
        <v>0</v>
      </c>
      <c r="E103" s="770">
        <f t="shared" si="4"/>
        <v>0</v>
      </c>
    </row>
    <row r="104" spans="1:5" ht="12.75" outlineLevel="1">
      <c r="A104" s="769">
        <v>9000001</v>
      </c>
      <c r="B104" s="769">
        <v>11000000</v>
      </c>
      <c r="C104" s="766">
        <v>274000</v>
      </c>
      <c r="D104" s="770">
        <f t="shared" si="3"/>
        <v>0</v>
      </c>
      <c r="E104" s="770">
        <f t="shared" si="4"/>
        <v>0</v>
      </c>
    </row>
    <row r="105" spans="1:5" ht="12.75" outlineLevel="1">
      <c r="A105" s="769">
        <v>11000001</v>
      </c>
      <c r="B105" s="769">
        <v>14000000</v>
      </c>
      <c r="C105" s="766">
        <v>296500</v>
      </c>
      <c r="D105" s="770">
        <f t="shared" si="3"/>
        <v>0</v>
      </c>
      <c r="E105" s="770">
        <f t="shared" si="4"/>
        <v>0</v>
      </c>
    </row>
    <row r="106" spans="1:5" ht="12.75" outlineLevel="1">
      <c r="A106" s="769">
        <v>14000001</v>
      </c>
      <c r="B106" s="769">
        <v>17000000</v>
      </c>
      <c r="C106" s="766">
        <v>322700</v>
      </c>
      <c r="D106" s="770">
        <f t="shared" si="3"/>
        <v>0</v>
      </c>
      <c r="E106" s="770">
        <f t="shared" si="4"/>
        <v>0</v>
      </c>
    </row>
    <row r="107" spans="1:5" ht="12.75" outlineLevel="1">
      <c r="A107" s="769">
        <v>17000001</v>
      </c>
      <c r="B107" s="769">
        <v>20000000</v>
      </c>
      <c r="C107" s="766">
        <v>349100</v>
      </c>
      <c r="D107" s="770">
        <f t="shared" si="3"/>
        <v>0</v>
      </c>
      <c r="E107" s="770">
        <f t="shared" si="4"/>
        <v>0</v>
      </c>
    </row>
    <row r="108" spans="1:5" ht="12.75" outlineLevel="1">
      <c r="A108" s="769">
        <v>20000001</v>
      </c>
      <c r="B108" s="769">
        <v>25000000</v>
      </c>
      <c r="C108" s="766">
        <v>383200</v>
      </c>
      <c r="D108" s="770">
        <f>+IF(AND($B$88&gt;=A108,$B$88&lt;=B108),C108,0)</f>
        <v>0</v>
      </c>
      <c r="E108" s="770">
        <f t="shared" si="4"/>
        <v>0</v>
      </c>
    </row>
    <row r="109" spans="1:5" ht="12.75" outlineLevel="1">
      <c r="A109" s="769">
        <v>25000001</v>
      </c>
      <c r="B109" s="769">
        <v>30000000</v>
      </c>
      <c r="C109" s="766">
        <v>420400</v>
      </c>
      <c r="D109" s="770">
        <f aca="true" t="shared" si="5" ref="D109:D123">+IF(AND($B$88&gt;=A109,$B$88&lt;=B109),C109,0)</f>
        <v>0</v>
      </c>
      <c r="E109" s="770">
        <f t="shared" si="4"/>
        <v>0</v>
      </c>
    </row>
    <row r="110" spans="1:5" ht="12.75" outlineLevel="1">
      <c r="A110" s="769">
        <v>30000001</v>
      </c>
      <c r="B110" s="769">
        <v>35000000</v>
      </c>
      <c r="C110" s="766">
        <v>458800</v>
      </c>
      <c r="D110" s="770">
        <f t="shared" si="5"/>
        <v>0</v>
      </c>
      <c r="E110" s="770">
        <f t="shared" si="4"/>
        <v>0</v>
      </c>
    </row>
    <row r="111" spans="1:5" ht="12.75" outlineLevel="1">
      <c r="A111" s="769">
        <v>35000001</v>
      </c>
      <c r="B111" s="769">
        <v>40000000</v>
      </c>
      <c r="C111" s="766">
        <v>497200</v>
      </c>
      <c r="D111" s="770">
        <f t="shared" si="5"/>
        <v>0</v>
      </c>
      <c r="E111" s="770">
        <f t="shared" si="4"/>
        <v>0</v>
      </c>
    </row>
    <row r="112" spans="1:5" ht="12.75" outlineLevel="1">
      <c r="A112" s="769">
        <v>40000001</v>
      </c>
      <c r="B112" s="769">
        <v>50000000</v>
      </c>
      <c r="C112" s="766">
        <v>535100</v>
      </c>
      <c r="D112" s="770">
        <f t="shared" si="5"/>
        <v>0</v>
      </c>
      <c r="E112" s="770">
        <f t="shared" si="4"/>
        <v>0</v>
      </c>
    </row>
    <row r="113" spans="1:5" ht="12.75" outlineLevel="1">
      <c r="A113" s="769">
        <v>50000001</v>
      </c>
      <c r="B113" s="769">
        <v>60000000</v>
      </c>
      <c r="C113" s="766">
        <v>611800</v>
      </c>
      <c r="D113" s="770">
        <f t="shared" si="5"/>
        <v>0</v>
      </c>
      <c r="E113" s="770">
        <f t="shared" si="4"/>
        <v>0</v>
      </c>
    </row>
    <row r="114" spans="1:5" ht="12.75" outlineLevel="1">
      <c r="A114" s="769">
        <v>60000001</v>
      </c>
      <c r="B114" s="769">
        <v>70000000</v>
      </c>
      <c r="C114" s="766">
        <v>687800</v>
      </c>
      <c r="D114" s="770">
        <f t="shared" si="5"/>
        <v>0</v>
      </c>
      <c r="E114" s="770">
        <f t="shared" si="4"/>
        <v>0</v>
      </c>
    </row>
    <row r="115" spans="1:5" ht="12.75" outlineLevel="1">
      <c r="A115" s="769">
        <v>70000001</v>
      </c>
      <c r="B115" s="769">
        <v>90000000</v>
      </c>
      <c r="C115" s="766">
        <v>764600</v>
      </c>
      <c r="D115" s="770">
        <f t="shared" si="5"/>
        <v>0</v>
      </c>
      <c r="E115" s="770">
        <f t="shared" si="4"/>
        <v>0</v>
      </c>
    </row>
    <row r="116" spans="1:5" ht="12.75" outlineLevel="1">
      <c r="A116" s="769">
        <v>90000001</v>
      </c>
      <c r="B116" s="769">
        <v>110000000</v>
      </c>
      <c r="C116" s="766">
        <v>840800</v>
      </c>
      <c r="D116" s="770">
        <f t="shared" si="5"/>
        <v>0</v>
      </c>
      <c r="E116" s="770">
        <f t="shared" si="4"/>
        <v>0</v>
      </c>
    </row>
    <row r="117" spans="1:5" ht="12.75" outlineLevel="1">
      <c r="A117" s="769">
        <v>110000001</v>
      </c>
      <c r="B117" s="769">
        <v>140000000</v>
      </c>
      <c r="C117" s="766">
        <v>955800</v>
      </c>
      <c r="D117" s="770">
        <f t="shared" si="5"/>
        <v>0</v>
      </c>
      <c r="E117" s="770">
        <f t="shared" si="4"/>
        <v>0</v>
      </c>
    </row>
    <row r="118" spans="1:5" ht="12.75" outlineLevel="1">
      <c r="A118" s="769">
        <v>140000001</v>
      </c>
      <c r="B118" s="769">
        <v>170000000</v>
      </c>
      <c r="C118" s="766">
        <v>1070400</v>
      </c>
      <c r="D118" s="770">
        <f t="shared" si="5"/>
        <v>0</v>
      </c>
      <c r="E118" s="770">
        <f t="shared" si="4"/>
        <v>0</v>
      </c>
    </row>
    <row r="119" spans="1:5" ht="12.75" outlineLevel="1">
      <c r="A119" s="769">
        <v>170000001</v>
      </c>
      <c r="B119" s="769">
        <v>220000000</v>
      </c>
      <c r="C119" s="766">
        <v>1337900</v>
      </c>
      <c r="D119" s="770">
        <f t="shared" si="5"/>
        <v>1337900</v>
      </c>
      <c r="E119" s="770">
        <f t="shared" si="4"/>
        <v>0</v>
      </c>
    </row>
    <row r="120" spans="1:5" ht="12.75" outlineLevel="1">
      <c r="A120" s="769">
        <v>220000001</v>
      </c>
      <c r="B120" s="769">
        <v>300000000</v>
      </c>
      <c r="C120" s="766">
        <v>1605400</v>
      </c>
      <c r="D120" s="770">
        <f t="shared" si="5"/>
        <v>0</v>
      </c>
      <c r="E120" s="770">
        <f t="shared" si="4"/>
        <v>0</v>
      </c>
    </row>
    <row r="121" spans="1:5" ht="12.75" outlineLevel="1">
      <c r="A121" s="769">
        <v>300000001</v>
      </c>
      <c r="B121" s="769">
        <v>500000000</v>
      </c>
      <c r="C121" s="766">
        <v>1987800</v>
      </c>
      <c r="D121" s="770">
        <f t="shared" si="5"/>
        <v>0</v>
      </c>
      <c r="E121" s="770">
        <f t="shared" si="4"/>
        <v>0</v>
      </c>
    </row>
    <row r="122" spans="1:5" ht="12.75" outlineLevel="1">
      <c r="A122" s="769">
        <v>500000001</v>
      </c>
      <c r="B122" s="769">
        <v>1000000000</v>
      </c>
      <c r="C122" s="766">
        <v>2752000</v>
      </c>
      <c r="D122" s="770">
        <f t="shared" si="5"/>
        <v>0</v>
      </c>
      <c r="E122" s="770">
        <f t="shared" si="4"/>
        <v>0</v>
      </c>
    </row>
    <row r="123" spans="1:5" ht="12.75" outlineLevel="1">
      <c r="A123" s="771">
        <v>1000000001</v>
      </c>
      <c r="B123" s="768" t="s">
        <v>629</v>
      </c>
      <c r="C123" s="766">
        <v>3822300</v>
      </c>
      <c r="D123" s="770">
        <f t="shared" si="5"/>
        <v>0</v>
      </c>
      <c r="E123" s="772">
        <f t="shared" si="4"/>
        <v>0</v>
      </c>
    </row>
    <row r="124" ht="15">
      <c r="A124" s="773" t="s">
        <v>766</v>
      </c>
    </row>
    <row r="125" ht="12.75" hidden="1"/>
    <row r="126" spans="1:7" ht="6" customHeight="1">
      <c r="A126" s="774"/>
      <c r="B126" s="774"/>
      <c r="C126" s="774"/>
      <c r="D126" s="775"/>
      <c r="E126" s="774"/>
      <c r="F126" s="776"/>
      <c r="G126" s="776"/>
    </row>
    <row r="127" spans="2:5" ht="12.75" hidden="1" outlineLevel="2">
      <c r="B127" s="777">
        <v>0</v>
      </c>
      <c r="C127" s="778" t="s">
        <v>767</v>
      </c>
      <c r="D127" s="737"/>
      <c r="E127" s="758"/>
    </row>
    <row r="128" spans="1:4" ht="12.75" hidden="1" outlineLevel="2">
      <c r="A128" s="779">
        <f>+B88</f>
        <v>180958550</v>
      </c>
      <c r="B128" s="777">
        <f>+B88</f>
        <v>180958550</v>
      </c>
      <c r="C128" s="778" t="s">
        <v>768</v>
      </c>
      <c r="D128" s="627"/>
    </row>
    <row r="129" ht="12.75" hidden="1" outlineLevel="2">
      <c r="B129" s="777">
        <v>0</v>
      </c>
    </row>
    <row r="130" spans="2:3" ht="12.75" hidden="1" outlineLevel="2">
      <c r="B130" s="780">
        <v>0</v>
      </c>
      <c r="C130" s="778" t="s">
        <v>769</v>
      </c>
    </row>
    <row r="131" spans="2:4" ht="12.75" hidden="1" outlineLevel="2">
      <c r="B131" s="763">
        <f>+IF(B129&gt;0,SUM(E91:E121),"")</f>
      </c>
      <c r="D131" s="627"/>
    </row>
    <row r="132" spans="2:3" ht="12.75" hidden="1" outlineLevel="2">
      <c r="B132" s="781">
        <f>+IF(B$130&gt;0,B131-B$130,"")</f>
      </c>
      <c r="C132" s="782" t="str">
        <f>+IF(B132&gt;0,"  &lt;-- ESTE ES EL VALOR A PAGAR POR PUBLICACION POR LA ADICIÓN-Introducir en la celda de tarifa en el cuadro de arriba","")</f>
        <v>  &lt;-- ESTE ES EL VALOR A PAGAR POR PUBLICACION POR LA ADICIÓN-Introducir en la celda de tarifa en el cuadro de arriba</v>
      </c>
    </row>
    <row r="133" ht="8.25" customHeight="1" hidden="1" outlineLevel="2">
      <c r="C133" s="782"/>
    </row>
    <row r="134" spans="1:3" ht="15" collapsed="1">
      <c r="A134" s="773" t="s">
        <v>770</v>
      </c>
      <c r="C134" s="783"/>
    </row>
    <row r="135" spans="1:7" ht="6" customHeight="1">
      <c r="A135" s="774"/>
      <c r="B135" s="774"/>
      <c r="C135" s="774"/>
      <c r="D135" s="775"/>
      <c r="E135" s="774"/>
      <c r="F135" s="776"/>
      <c r="G135" s="776"/>
    </row>
    <row r="136" spans="1:4" ht="12.75" outlineLevel="1">
      <c r="A136" s="973" t="s">
        <v>662</v>
      </c>
      <c r="B136" s="970" t="s">
        <v>660</v>
      </c>
      <c r="C136" s="970"/>
      <c r="D136" s="784" t="s">
        <v>661</v>
      </c>
    </row>
    <row r="137" spans="1:4" ht="12.75" outlineLevel="1">
      <c r="A137" s="974"/>
      <c r="B137" s="785">
        <v>0</v>
      </c>
      <c r="C137" s="786">
        <v>0</v>
      </c>
      <c r="D137" s="787">
        <v>0</v>
      </c>
    </row>
    <row r="138" spans="1:4" ht="12.75" outlineLevel="1">
      <c r="A138" s="788"/>
      <c r="B138" s="785">
        <v>0</v>
      </c>
      <c r="C138" s="786">
        <v>100000000</v>
      </c>
      <c r="D138" s="787">
        <f>10/100</f>
        <v>0.1</v>
      </c>
    </row>
    <row r="139" spans="1:4" ht="12.75" outlineLevel="1">
      <c r="A139" s="788"/>
      <c r="B139" s="785">
        <f>1+C138</f>
        <v>100000001</v>
      </c>
      <c r="C139" s="786">
        <v>500000000</v>
      </c>
      <c r="D139" s="787">
        <v>0.2</v>
      </c>
    </row>
    <row r="140" spans="1:4" ht="12.75" outlineLevel="1">
      <c r="A140" s="788"/>
      <c r="B140" s="785">
        <f>1+C139</f>
        <v>500000001</v>
      </c>
      <c r="C140" s="786">
        <v>1000000000</v>
      </c>
      <c r="D140" s="787">
        <v>0.25</v>
      </c>
    </row>
    <row r="141" spans="1:4" ht="12.75" outlineLevel="1">
      <c r="A141" s="789"/>
      <c r="B141" s="785">
        <f>1+C140</f>
        <v>1000000001</v>
      </c>
      <c r="C141" s="786">
        <v>1000000000000</v>
      </c>
      <c r="D141" s="787">
        <v>0.3</v>
      </c>
    </row>
    <row r="142" ht="12" customHeight="1" outlineLevel="1"/>
    <row r="143" ht="15">
      <c r="A143" s="773" t="s">
        <v>771</v>
      </c>
    </row>
    <row r="144" spans="1:7" ht="5.25" customHeight="1">
      <c r="A144" s="774"/>
      <c r="B144" s="774"/>
      <c r="C144" s="774"/>
      <c r="D144" s="775"/>
      <c r="E144" s="774"/>
      <c r="F144" s="776"/>
      <c r="G144" s="776"/>
    </row>
  </sheetData>
  <sheetProtection formatCells="0" formatColumns="0" formatRows="0" insertColumns="0" insertRows="0" insertHyperlinks="0" deleteColumns="0" deleteRows="0" sort="0" autoFilter="0" pivotTables="0"/>
  <mergeCells count="23">
    <mergeCell ref="A1:F1"/>
    <mergeCell ref="A2:F2"/>
    <mergeCell ref="A3:F3"/>
    <mergeCell ref="A34:F34"/>
    <mergeCell ref="G39:G50"/>
    <mergeCell ref="A6:B6"/>
    <mergeCell ref="A28:E28"/>
    <mergeCell ref="G11:G24"/>
    <mergeCell ref="B136:C136"/>
    <mergeCell ref="A35:B35"/>
    <mergeCell ref="A136:A137"/>
    <mergeCell ref="A53:F53"/>
    <mergeCell ref="B64:E64"/>
    <mergeCell ref="B84:C84"/>
    <mergeCell ref="F76:I76"/>
    <mergeCell ref="A36:B36"/>
    <mergeCell ref="H85:I85"/>
    <mergeCell ref="K3:L3"/>
    <mergeCell ref="C6:F6"/>
    <mergeCell ref="C35:F35"/>
    <mergeCell ref="A8:B8"/>
    <mergeCell ref="A5:F5"/>
    <mergeCell ref="A7:B7"/>
  </mergeCells>
  <dataValidations count="2">
    <dataValidation type="list" allowBlank="1" showInputMessage="1" showErrorMessage="1" sqref="B39:B43">
      <formula1>$IU$9:$IU$20</formula1>
    </dataValidation>
    <dataValidation type="list" allowBlank="1" showInputMessage="1" showErrorMessage="1" sqref="B44:B49 B11:B26">
      <formula1>$B$66:$B$83</formula1>
    </dataValidation>
  </dataValidations>
  <printOptions/>
  <pageMargins left="0.7874015748031497" right="0.7874015748031497" top="1.1023622047244095" bottom="0.7874015748031497" header="0.5905511811023623" footer="0.5905511811023623"/>
  <pageSetup fitToHeight="1" fitToWidth="1" horizontalDpi="600" verticalDpi="600" orientation="portrait" scale="75" r:id="rId3"/>
  <headerFooter alignWithMargins="0">
    <oddHeader>&amp;CAnálisis de Costos - Área de Estudios Previos</oddHeader>
    <oddFooter>&amp;L16/02/2010&amp;R0</oddFooter>
  </headerFooter>
  <rowBreaks count="1" manualBreakCount="1">
    <brk id="56" max="255" man="1"/>
  </rowBreaks>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sheetPr codeName="Hoja8">
    <tabColor theme="6" tint="-0.4999699890613556"/>
    <pageSetUpPr fitToPage="1"/>
  </sheetPr>
  <dimension ref="A1:O98"/>
  <sheetViews>
    <sheetView showGridLines="0" zoomScale="80" zoomScaleNormal="80" zoomScalePageLayoutView="0" workbookViewId="0" topLeftCell="A39">
      <selection activeCell="G66" sqref="G66"/>
    </sheetView>
  </sheetViews>
  <sheetFormatPr defaultColWidth="12" defaultRowHeight="12.75"/>
  <cols>
    <col min="1" max="1" width="15" style="0" customWidth="1"/>
    <col min="2" max="2" width="62.16015625" style="0" bestFit="1" customWidth="1"/>
    <col min="3" max="3" width="15.16015625" style="0" customWidth="1"/>
    <col min="4" max="4" width="14.5" style="0" bestFit="1" customWidth="1"/>
    <col min="5" max="5" width="22.33203125" style="0" customWidth="1"/>
    <col min="6" max="6" width="22.66015625" style="16" customWidth="1"/>
    <col min="7" max="7" width="19.33203125" style="16" bestFit="1" customWidth="1"/>
    <col min="8" max="8" width="12.16015625" style="16" bestFit="1" customWidth="1"/>
    <col min="9" max="9" width="14" style="20" customWidth="1"/>
    <col min="10" max="10" width="13.66015625" style="20" customWidth="1"/>
    <col min="11" max="11" width="16.33203125" style="20" bestFit="1" customWidth="1"/>
    <col min="12" max="12" width="17.33203125" style="1" bestFit="1" customWidth="1"/>
    <col min="13" max="13" width="16.33203125" style="0" bestFit="1" customWidth="1"/>
  </cols>
  <sheetData>
    <row r="1" spans="1:15" ht="24.75" customHeight="1">
      <c r="A1" s="999" t="s">
        <v>790</v>
      </c>
      <c r="B1" s="999"/>
      <c r="C1" s="999"/>
      <c r="D1" s="999"/>
      <c r="E1" s="999"/>
      <c r="F1" s="22"/>
      <c r="G1" s="22"/>
      <c r="H1" s="22"/>
      <c r="I1" s="22"/>
      <c r="J1" s="22"/>
      <c r="K1" s="22"/>
      <c r="L1" s="22"/>
      <c r="M1" s="22"/>
      <c r="N1" s="22"/>
      <c r="O1" s="22"/>
    </row>
    <row r="2" spans="1:15" ht="15.75">
      <c r="A2" s="1000">
        <f>+'INFORMACION DEL FP'!A2:D2</f>
        <v>0</v>
      </c>
      <c r="B2" s="1000"/>
      <c r="C2" s="1000"/>
      <c r="D2" s="1000"/>
      <c r="E2" s="1000"/>
      <c r="F2" s="22"/>
      <c r="G2" s="22"/>
      <c r="H2" s="22"/>
      <c r="I2" s="22"/>
      <c r="J2" s="22"/>
      <c r="K2" s="22"/>
      <c r="L2" s="22"/>
      <c r="M2" s="22"/>
      <c r="N2" s="22"/>
      <c r="O2" s="22"/>
    </row>
    <row r="3" spans="1:15" ht="15.75">
      <c r="A3" s="1001"/>
      <c r="B3" s="1001"/>
      <c r="C3" s="1001"/>
      <c r="D3" s="1001"/>
      <c r="E3" s="1001"/>
      <c r="F3" s="22"/>
      <c r="G3" s="22"/>
      <c r="H3" s="22"/>
      <c r="I3" s="22"/>
      <c r="J3" s="22"/>
      <c r="K3" s="22"/>
      <c r="L3" s="22"/>
      <c r="M3" s="22"/>
      <c r="N3" s="22"/>
      <c r="O3" s="22"/>
    </row>
    <row r="4" spans="1:5" ht="67.5" customHeight="1">
      <c r="A4" s="561" t="s">
        <v>32</v>
      </c>
      <c r="B4" s="1002" t="str">
        <f>+'PERSONAL Y OTROS'!B6</f>
        <v>INTERVENTORÍA TÉCNICA, ADMINISTRATIVA, FINANCIERA, CONTABLE, AMBIENTAL, SOCIAL  Y  JURÍDICA PARA LA EJECUCIÓN CONDICIONAL POR FASES DEL PROYECTO "MEJORAMIENTO DEL SISTEMA DE ACUEDUCTO SEGÚN PLAN MAESTRO DEL MUNICIPIO DE RONCESVALLES" - FASE III</v>
      </c>
      <c r="C4" s="1002"/>
      <c r="D4" s="1002"/>
      <c r="E4" s="1002"/>
    </row>
    <row r="5" spans="1:5" ht="12.75">
      <c r="A5" s="951" t="s">
        <v>156</v>
      </c>
      <c r="B5" s="951"/>
      <c r="C5" s="951"/>
      <c r="D5" s="951"/>
      <c r="E5" s="951"/>
    </row>
    <row r="6" spans="1:5" ht="12.75">
      <c r="A6" s="191"/>
      <c r="B6" s="191"/>
      <c r="C6" s="191"/>
      <c r="D6" s="191"/>
      <c r="E6" s="191"/>
    </row>
    <row r="7" spans="1:5" ht="15">
      <c r="A7" s="579" t="s">
        <v>37</v>
      </c>
      <c r="B7" s="579" t="s">
        <v>38</v>
      </c>
      <c r="C7" s="1003" t="s">
        <v>39</v>
      </c>
      <c r="D7" s="1003"/>
      <c r="E7" s="579"/>
    </row>
    <row r="8" spans="1:7" s="2" customFormat="1" ht="12.75">
      <c r="A8" s="336">
        <v>1</v>
      </c>
      <c r="B8" s="436" t="s">
        <v>40</v>
      </c>
      <c r="C8" s="436"/>
      <c r="D8" s="417">
        <v>1</v>
      </c>
      <c r="E8" s="390">
        <f>(XMesProfesionales+XMesTecnicos)/(CdadProfesionales+CdadTecnicos)</f>
        <v>1532195.0694082396</v>
      </c>
      <c r="G8" s="20"/>
    </row>
    <row r="9" spans="1:7" s="2" customFormat="1" ht="12.75">
      <c r="A9" s="336">
        <v>2</v>
      </c>
      <c r="B9" s="436" t="s">
        <v>41</v>
      </c>
      <c r="C9" s="530"/>
      <c r="D9" s="417">
        <f>SUM(C10:C13)</f>
        <v>0.20915996666666664</v>
      </c>
      <c r="E9" s="415"/>
      <c r="G9" s="20"/>
    </row>
    <row r="10" spans="1:7" ht="12.75">
      <c r="A10" s="222">
        <v>2.1</v>
      </c>
      <c r="B10" s="434" t="s">
        <v>42</v>
      </c>
      <c r="C10" s="564">
        <f>+'INFORMACION DEL FP'!C10</f>
        <v>0.08333</v>
      </c>
      <c r="D10" s="564"/>
      <c r="E10" s="416">
        <f>+C10*XMesPersonalPromedio</f>
        <v>127677.81513378861</v>
      </c>
      <c r="G10" s="20"/>
    </row>
    <row r="11" spans="1:7" ht="12.75">
      <c r="A11" s="222">
        <v>2.2</v>
      </c>
      <c r="B11" s="434" t="s">
        <v>43</v>
      </c>
      <c r="C11" s="564">
        <f>+'INFORMACION DEL FP'!C11</f>
        <v>0.0008333</v>
      </c>
      <c r="D11" s="564"/>
      <c r="E11" s="416">
        <f>+C11*XMesPersonalPromedio</f>
        <v>1276.7781513378861</v>
      </c>
      <c r="G11" s="20"/>
    </row>
    <row r="12" spans="1:7" ht="12.75">
      <c r="A12" s="222">
        <v>2.3</v>
      </c>
      <c r="B12" s="434" t="s">
        <v>44</v>
      </c>
      <c r="C12" s="564">
        <f>+'INFORMACION DEL FP'!C12</f>
        <v>0.041666666666666664</v>
      </c>
      <c r="D12" s="564"/>
      <c r="E12" s="416">
        <f>+C12*XMesPersonalPromedio</f>
        <v>63841.461225343315</v>
      </c>
      <c r="G12" s="20"/>
    </row>
    <row r="13" spans="1:7" ht="12.75">
      <c r="A13" s="222">
        <v>2.4</v>
      </c>
      <c r="B13" s="434" t="s">
        <v>45</v>
      </c>
      <c r="C13" s="564">
        <f>+'INFORMACION DEL FP'!C13</f>
        <v>0.08333</v>
      </c>
      <c r="D13" s="564"/>
      <c r="E13" s="416">
        <f>+C13*XMesPersonalPromedio</f>
        <v>127677.81513378861</v>
      </c>
      <c r="G13" s="20"/>
    </row>
    <row r="14" spans="1:7" s="2" customFormat="1" ht="12.75">
      <c r="A14" s="336">
        <v>3</v>
      </c>
      <c r="B14" s="436" t="s">
        <v>46</v>
      </c>
      <c r="C14" s="417"/>
      <c r="D14" s="417">
        <f>SUM(C15:C19)</f>
        <v>0.3833</v>
      </c>
      <c r="E14" s="415"/>
      <c r="G14" s="20"/>
    </row>
    <row r="15" spans="1:7" ht="12.75">
      <c r="A15" s="222">
        <v>3.1</v>
      </c>
      <c r="B15" s="434" t="s">
        <v>47</v>
      </c>
      <c r="C15" s="564">
        <f>+'INFORMACION DEL FP'!C15</f>
        <v>0.085</v>
      </c>
      <c r="D15" s="564"/>
      <c r="E15" s="416">
        <f>+C15*XMesPersonalPromedio</f>
        <v>130236.58089970038</v>
      </c>
      <c r="G15" s="20"/>
    </row>
    <row r="16" spans="1:7" ht="12.75">
      <c r="A16" s="222">
        <v>3.2</v>
      </c>
      <c r="B16" s="434" t="s">
        <v>48</v>
      </c>
      <c r="C16" s="564">
        <f>+'INFORMACION DEL FP'!C16</f>
        <v>0.12</v>
      </c>
      <c r="D16" s="564"/>
      <c r="E16" s="416">
        <f>+C16*XMesPersonalPromedio</f>
        <v>183863.40832898873</v>
      </c>
      <c r="G16" s="20"/>
    </row>
    <row r="17" spans="1:7" ht="12.75">
      <c r="A17" s="222">
        <v>3.3</v>
      </c>
      <c r="B17" s="434" t="s">
        <v>49</v>
      </c>
      <c r="C17" s="564">
        <f>+'INFORMACION DEL FP'!C17</f>
        <v>0.01</v>
      </c>
      <c r="D17" s="564"/>
      <c r="E17" s="416">
        <f>+C17*XMesPersonalPromedio</f>
        <v>15321.950694082396</v>
      </c>
      <c r="G17" s="20"/>
    </row>
    <row r="18" spans="1:7" ht="12.75">
      <c r="A18" s="222">
        <v>3.4</v>
      </c>
      <c r="B18" s="434" t="s">
        <v>50</v>
      </c>
      <c r="C18" s="564">
        <f>+'INFORMACION DEL FP'!C18</f>
        <v>0.0783</v>
      </c>
      <c r="D18" s="564"/>
      <c r="E18" s="416">
        <f>+C18*XMesPersonalPromedio</f>
        <v>119970.87393466516</v>
      </c>
      <c r="G18" s="20"/>
    </row>
    <row r="19" spans="1:7" ht="12.75">
      <c r="A19" s="222">
        <v>3.5</v>
      </c>
      <c r="B19" s="434" t="s">
        <v>51</v>
      </c>
      <c r="C19" s="564">
        <f>+'INFORMACION DEL FP'!C19</f>
        <v>0.09</v>
      </c>
      <c r="D19" s="564"/>
      <c r="E19" s="416">
        <f>+C19*XMesPersonalPromedio</f>
        <v>137897.55624674156</v>
      </c>
      <c r="G19" s="20"/>
    </row>
    <row r="20" spans="1:7" s="2" customFormat="1" ht="12.75">
      <c r="A20" s="336">
        <v>4</v>
      </c>
      <c r="B20" s="436" t="s">
        <v>149</v>
      </c>
      <c r="C20" s="417"/>
      <c r="D20" s="417">
        <f>SUM(C21:C22)</f>
        <v>0.02</v>
      </c>
      <c r="E20" s="415"/>
      <c r="G20" s="20"/>
    </row>
    <row r="21" spans="1:7" ht="15">
      <c r="A21" s="222">
        <v>4.1</v>
      </c>
      <c r="B21" s="565" t="s">
        <v>53</v>
      </c>
      <c r="C21" s="566">
        <f>+'INFORMACION DEL FP'!C21</f>
        <v>0.02</v>
      </c>
      <c r="D21" s="564"/>
      <c r="E21" s="416">
        <f>+C21*XMesPersonalPromedio</f>
        <v>30643.90138816479</v>
      </c>
      <c r="G21" s="20"/>
    </row>
    <row r="22" spans="1:7" ht="15">
      <c r="A22" s="222">
        <v>4.2</v>
      </c>
      <c r="B22" s="565" t="s">
        <v>54</v>
      </c>
      <c r="C22" s="566">
        <f>+'INFORMACION DEL FP'!C22</f>
        <v>0</v>
      </c>
      <c r="D22" s="564"/>
      <c r="E22" s="416">
        <f>+C22*XMesPersonalPromedio</f>
        <v>0</v>
      </c>
      <c r="G22" s="20"/>
    </row>
    <row r="23" spans="1:7" ht="15">
      <c r="A23" s="1003" t="s">
        <v>55</v>
      </c>
      <c r="B23" s="1003"/>
      <c r="C23" s="1003"/>
      <c r="D23" s="580">
        <f>+D20+D14+D9+D8</f>
        <v>1.6124599666666666</v>
      </c>
      <c r="E23" s="581">
        <f>SUM(PrestacionesSeguridadOtros)</f>
        <v>2470603.210544841</v>
      </c>
      <c r="G23" s="20"/>
    </row>
    <row r="24" spans="1:7" ht="12.75">
      <c r="A24" s="419"/>
      <c r="B24" s="419"/>
      <c r="C24" s="419"/>
      <c r="D24" s="420"/>
      <c r="E24" s="418"/>
      <c r="G24" s="20"/>
    </row>
    <row r="25" spans="1:7" ht="12.75">
      <c r="A25" s="567">
        <v>5</v>
      </c>
      <c r="B25" s="568" t="s">
        <v>150</v>
      </c>
      <c r="C25" s="419"/>
      <c r="D25" s="569"/>
      <c r="E25" s="415"/>
      <c r="G25" s="20"/>
    </row>
    <row r="26" spans="1:7" ht="12.75">
      <c r="A26" s="567"/>
      <c r="B26" s="568" t="s">
        <v>154</v>
      </c>
      <c r="C26" s="570">
        <f>CdadProfesionales+CdadTecnicos</f>
        <v>7</v>
      </c>
      <c r="D26" s="569"/>
      <c r="E26" s="415"/>
      <c r="G26" s="20"/>
    </row>
    <row r="27" spans="1:7" ht="38.25">
      <c r="A27" s="571">
        <v>5.1</v>
      </c>
      <c r="B27" s="572" t="s">
        <v>151</v>
      </c>
      <c r="C27" s="415"/>
      <c r="D27" s="417">
        <f>+E27/$E$8</f>
        <v>0.07701421740355857</v>
      </c>
      <c r="E27" s="418">
        <f>Oficina/(CdadProfesionales+CdadTecnicos+CdadNoFacturables+CdadCalidades)/PlazoEnMeses</f>
        <v>118000.80418006667</v>
      </c>
      <c r="F27" s="18"/>
      <c r="G27" s="20"/>
    </row>
    <row r="28" spans="1:7" ht="12.75">
      <c r="A28" s="571">
        <v>5.2</v>
      </c>
      <c r="B28" s="422" t="s">
        <v>152</v>
      </c>
      <c r="C28" s="415"/>
      <c r="D28" s="417">
        <f>+E28/$E$8</f>
        <v>0.024080414393143026</v>
      </c>
      <c r="E28" s="418">
        <f>NoFacturable/(CdadProfesionales+CdadTecnicos+CdadNoFacturables+CdadCalidades)/PlazoEnMeses</f>
        <v>36895.89220248095</v>
      </c>
      <c r="F28" s="18"/>
      <c r="G28" s="20"/>
    </row>
    <row r="29" spans="1:7" ht="12.75">
      <c r="A29" s="571">
        <v>5.3</v>
      </c>
      <c r="B29" s="422" t="s">
        <v>270</v>
      </c>
      <c r="C29" s="415"/>
      <c r="D29" s="417">
        <f>+E29/$E$8</f>
        <v>0</v>
      </c>
      <c r="E29" s="418">
        <f>Calidad/(CdadProfesionales+CdadTecnicos+CdadNoFacturables+CdadCalidades)/PlazoEnMeses</f>
        <v>0</v>
      </c>
      <c r="G29" s="20"/>
    </row>
    <row r="30" spans="1:7" ht="12.75">
      <c r="A30" s="573">
        <v>6</v>
      </c>
      <c r="B30" s="574" t="s">
        <v>153</v>
      </c>
      <c r="C30" s="575"/>
      <c r="D30" s="576"/>
      <c r="E30" s="415"/>
      <c r="G30" s="20"/>
    </row>
    <row r="31" spans="1:7" ht="12.75">
      <c r="A31" s="577">
        <v>6.01</v>
      </c>
      <c r="B31" s="578" t="str">
        <f>+'IMPUESTOS Y VR TOTAL'!B39</f>
        <v>Imp. Transac Fin (4x1000)</v>
      </c>
      <c r="C31" s="575"/>
      <c r="D31" s="417">
        <f>+E31/$E$8</f>
        <v>0.011248011407388061</v>
      </c>
      <c r="E31" s="418">
        <f>+'IMPUESTOS Y VR TOTAL'!E39/$C$26/$E$46</f>
        <v>17234.14761904762</v>
      </c>
      <c r="G31" s="20"/>
    </row>
    <row r="32" spans="1:7" ht="12.75">
      <c r="A32" s="571">
        <v>6.02</v>
      </c>
      <c r="B32" s="578" t="str">
        <f>+'IMPUESTOS Y VR TOTAL'!B40</f>
        <v>ICA</v>
      </c>
      <c r="C32" s="575"/>
      <c r="D32" s="417">
        <f aca="true" t="shared" si="0" ref="D32:D40">+E32/$E$8</f>
        <v>0.01672656868771069</v>
      </c>
      <c r="E32" s="418">
        <f>+'IMPUESTOS Y VR TOTAL'!E40/$C$26/$E$46</f>
        <v>25628.36607142857</v>
      </c>
      <c r="G32" s="20"/>
    </row>
    <row r="33" spans="1:7" ht="12.75">
      <c r="A33" s="571">
        <v>6.04</v>
      </c>
      <c r="B33" s="578" t="str">
        <f>+'IMPUESTOS Y VR TOTAL'!B41</f>
        <v>IVA</v>
      </c>
      <c r="C33" s="575"/>
      <c r="D33" s="417">
        <f t="shared" si="0"/>
        <v>0</v>
      </c>
      <c r="E33" s="418">
        <v>0</v>
      </c>
      <c r="G33" s="20"/>
    </row>
    <row r="34" spans="1:7" ht="12.75">
      <c r="A34" s="571">
        <v>6.05</v>
      </c>
      <c r="B34" s="578" t="str">
        <f>+'IMPUESTOS Y VR TOTAL'!B42</f>
        <v>Retención/Vr Total Cto Consul</v>
      </c>
      <c r="C34" s="575"/>
      <c r="D34" s="417">
        <f t="shared" si="0"/>
        <v>0.04848280779046577</v>
      </c>
      <c r="E34" s="418">
        <f>+'IMPUESTOS Y VR TOTAL'!E42/$C$26/$E$46</f>
        <v>74285.11904761904</v>
      </c>
      <c r="G34" s="20"/>
    </row>
    <row r="35" spans="1:7" ht="12.75">
      <c r="A35" s="571">
        <v>6.06</v>
      </c>
      <c r="B35" s="578" t="str">
        <f>+'IMPUESTOS Y VR TOTAL'!B43</f>
        <v>Timbre/Vr Total Cto</v>
      </c>
      <c r="C35" s="575"/>
      <c r="D35" s="417">
        <f t="shared" si="0"/>
        <v>0</v>
      </c>
      <c r="E35" s="418">
        <f>+'IMPUESTOS Y VR TOTAL'!E43/$C$26/$E$46</f>
        <v>0</v>
      </c>
      <c r="G35" s="20"/>
    </row>
    <row r="36" spans="1:7" ht="12.75">
      <c r="A36" s="571">
        <v>6.07</v>
      </c>
      <c r="B36" s="578" t="str">
        <f>+'IMPUESTOS Y VR TOTAL'!B44</f>
        <v>Garantía de Seriedad</v>
      </c>
      <c r="C36" s="575"/>
      <c r="D36" s="417">
        <f t="shared" si="0"/>
        <v>0.0006215794394566082</v>
      </c>
      <c r="E36" s="418">
        <f>+'IMPUESTOS Y VR TOTAL'!E44/$C$26/$E$46</f>
        <v>952.3809523809524</v>
      </c>
      <c r="G36" s="20"/>
    </row>
    <row r="37" spans="1:7" ht="12.75">
      <c r="A37" s="571">
        <v>6.08</v>
      </c>
      <c r="B37" s="578" t="str">
        <f>+'IMPUESTOS Y VR TOTAL'!B45</f>
        <v>Publicación Diario Oficial</v>
      </c>
      <c r="C37" s="575"/>
      <c r="D37" s="417">
        <f t="shared" si="0"/>
        <v>0</v>
      </c>
      <c r="E37" s="418">
        <f>+'IMPUESTOS Y VR TOTAL'!E45/$C$26/$E$46</f>
        <v>0</v>
      </c>
      <c r="G37" s="20"/>
    </row>
    <row r="38" spans="1:7" ht="12.75">
      <c r="A38" s="571">
        <v>6.09</v>
      </c>
      <c r="B38" s="578" t="str">
        <f>+'IMPUESTOS Y VR TOTAL'!B46</f>
        <v>Cumplimiento</v>
      </c>
      <c r="C38" s="575"/>
      <c r="D38" s="417">
        <f t="shared" si="0"/>
        <v>0.0008154808270356343</v>
      </c>
      <c r="E38" s="418">
        <f>+'IMPUESTOS Y VR TOTAL'!E46/$C$26/$E$46</f>
        <v>1249.4757023809523</v>
      </c>
      <c r="G38" s="20"/>
    </row>
    <row r="39" spans="1:7" ht="12.75">
      <c r="A39" s="571">
        <v>6.1</v>
      </c>
      <c r="B39" s="578" t="str">
        <f>+'IMPUESTOS Y VR TOTAL'!B47</f>
        <v>Salarios, Prestaciones</v>
      </c>
      <c r="C39" s="575"/>
      <c r="D39" s="417">
        <f t="shared" si="0"/>
        <v>0.005708365789249441</v>
      </c>
      <c r="E39" s="418">
        <f>+'IMPUESTOS Y VR TOTAL'!E47/$C$26/$E$46</f>
        <v>8746.329916666667</v>
      </c>
      <c r="G39" s="20"/>
    </row>
    <row r="40" spans="1:7" ht="12.75">
      <c r="A40" s="571">
        <v>6.11</v>
      </c>
      <c r="B40" s="578" t="str">
        <f>+'IMPUESTOS Y VR TOTAL'!B48</f>
        <v>Calidad de los Servicios</v>
      </c>
      <c r="C40" s="575"/>
      <c r="D40" s="417">
        <f t="shared" si="0"/>
        <v>0.002446442481106903</v>
      </c>
      <c r="E40" s="418">
        <f>+'IMPUESTOS Y VR TOTAL'!E48/$C$26/$E$46</f>
        <v>3748.4271071428575</v>
      </c>
      <c r="F40" s="44"/>
      <c r="G40" s="20"/>
    </row>
    <row r="41" spans="1:7" ht="12.75">
      <c r="A41" s="236"/>
      <c r="B41" s="422"/>
      <c r="C41" s="236"/>
      <c r="D41" s="423"/>
      <c r="E41" s="414"/>
      <c r="G41" s="20"/>
    </row>
    <row r="42" spans="1:12" s="2" customFormat="1" ht="26.25" customHeight="1">
      <c r="A42" s="424">
        <v>7</v>
      </c>
      <c r="B42" s="562" t="s">
        <v>614</v>
      </c>
      <c r="C42" s="425"/>
      <c r="D42" s="426">
        <f>(HonoraProfesionales*(CdadProfesionales+CdadNoFacturables+CdadCalidades)+HonoraTecnicos*CdadTecnicos)/(CdadProfesionales+CdadTecnicos+CdadNoFacturables+CdadCalidades)</f>
        <v>0.20000000000000004</v>
      </c>
      <c r="E42" s="427">
        <f>+$D$42*E8</f>
        <v>306439.01388164796</v>
      </c>
      <c r="F42" s="16"/>
      <c r="G42" s="44"/>
      <c r="H42" s="16"/>
      <c r="I42" s="20"/>
      <c r="J42" s="20"/>
      <c r="K42" s="20"/>
      <c r="L42" s="19"/>
    </row>
    <row r="43" spans="1:12" s="2" customFormat="1" ht="12.75">
      <c r="A43" s="428"/>
      <c r="B43" s="429"/>
      <c r="C43" s="429"/>
      <c r="D43" s="430"/>
      <c r="E43" s="431">
        <f>+E42+E27+E23+E31+E32+E33+E34+E35+E36+E37+E38+E39+E40+E28+E29</f>
        <v>3063783.167225703</v>
      </c>
      <c r="F43" s="16"/>
      <c r="G43" s="16"/>
      <c r="H43" s="16"/>
      <c r="I43" s="20"/>
      <c r="J43" s="20"/>
      <c r="K43" s="20"/>
      <c r="L43" s="19"/>
    </row>
    <row r="44" spans="1:5" ht="12.75">
      <c r="A44" s="394"/>
      <c r="B44" s="394"/>
      <c r="C44" s="394"/>
      <c r="D44" s="394"/>
      <c r="E44" s="531">
        <v>0</v>
      </c>
    </row>
    <row r="45" spans="1:5" ht="15">
      <c r="A45" s="585"/>
      <c r="B45" s="585" t="s">
        <v>155</v>
      </c>
      <c r="C45" s="585"/>
      <c r="D45" s="586">
        <f>SUM(D23:D42)</f>
        <v>1.999603854885781</v>
      </c>
      <c r="E45" s="587">
        <f>+D45*(XMesProfesionales+XMesTecnicos)/(CdadProfesionales+CdadTecnicos)</f>
        <v>3063783.1672257027</v>
      </c>
    </row>
    <row r="46" spans="1:5" ht="15">
      <c r="A46" s="585"/>
      <c r="B46" s="585" t="s">
        <v>158</v>
      </c>
      <c r="C46" s="585"/>
      <c r="D46" s="586"/>
      <c r="E46" s="587">
        <f>PlazoEnMeses</f>
        <v>6</v>
      </c>
    </row>
    <row r="47" spans="1:5" ht="12.75">
      <c r="A47" s="282"/>
      <c r="B47" s="432"/>
      <c r="C47" s="432"/>
      <c r="D47" s="433"/>
      <c r="E47" s="394"/>
    </row>
    <row r="48" spans="1:8" ht="12.75">
      <c r="A48" s="997" t="s">
        <v>121</v>
      </c>
      <c r="B48" s="997"/>
      <c r="C48" s="236"/>
      <c r="D48" s="236"/>
      <c r="E48" s="435">
        <f>+'IMPUESTOS Y VR TOTAL'!F51</f>
        <v>180958550</v>
      </c>
      <c r="G48" s="28"/>
      <c r="H48" s="27"/>
    </row>
    <row r="49" spans="1:5" ht="12.75">
      <c r="A49" s="997" t="s">
        <v>159</v>
      </c>
      <c r="B49" s="997"/>
      <c r="C49" s="236"/>
      <c r="D49" s="236"/>
      <c r="E49" s="435">
        <f>Profesional+Tecnico+NoFacturable+Calidad+Oficina</f>
        <v>125000195.0305701</v>
      </c>
    </row>
    <row r="50" spans="1:8" ht="12.75">
      <c r="A50" s="997" t="s">
        <v>169</v>
      </c>
      <c r="B50" s="997"/>
      <c r="C50" s="421">
        <f>CdadProfesionales+CdadTecnicos</f>
        <v>7</v>
      </c>
      <c r="D50" s="236"/>
      <c r="E50" s="248">
        <f>(CdadProfesionales+CdadTecnicos)*FactorMultiplicaCalculado*(XMesProfesionales+XMesTecnicos)*PlazoEnMeses/(CdadProfesionales+CdadTecnicos)</f>
        <v>128678893.0234795</v>
      </c>
      <c r="G50" s="45"/>
      <c r="H50" s="27"/>
    </row>
    <row r="51" spans="1:5" ht="12.75">
      <c r="A51" s="997" t="s">
        <v>160</v>
      </c>
      <c r="B51" s="997"/>
      <c r="C51" s="338"/>
      <c r="D51" s="236"/>
      <c r="E51" s="248">
        <f>Equipos+Viajes+Tramite+Ensayos+Campamento</f>
        <v>25461099.997544874</v>
      </c>
    </row>
    <row r="52" spans="1:12" s="2" customFormat="1" ht="12.75">
      <c r="A52" s="998" t="s">
        <v>161</v>
      </c>
      <c r="B52" s="998"/>
      <c r="C52" s="437"/>
      <c r="D52" s="263"/>
      <c r="E52" s="435">
        <f>SUM(E50:E51)</f>
        <v>154139993.02102438</v>
      </c>
      <c r="F52" s="16"/>
      <c r="G52" s="18"/>
      <c r="H52" s="16"/>
      <c r="I52" s="20"/>
      <c r="J52" s="20"/>
      <c r="K52" s="20"/>
      <c r="L52" s="19"/>
    </row>
    <row r="53" spans="1:5" ht="12.75">
      <c r="A53" s="997" t="s">
        <v>120</v>
      </c>
      <c r="B53" s="997"/>
      <c r="C53" s="438">
        <f>+'IMPUESTOS Y VR TOTAL'!C74</f>
        <v>0.16</v>
      </c>
      <c r="D53" s="236"/>
      <c r="E53" s="248">
        <f>+E52*C53</f>
        <v>24662398.8833639</v>
      </c>
    </row>
    <row r="54" spans="1:5" ht="12.75">
      <c r="A54" s="997" t="s">
        <v>171</v>
      </c>
      <c r="B54" s="997"/>
      <c r="C54" s="338"/>
      <c r="D54" s="236"/>
      <c r="E54" s="435">
        <f>+E53+E52</f>
        <v>178802391.90438828</v>
      </c>
    </row>
    <row r="55" spans="1:5" ht="12.75">
      <c r="A55" s="997" t="s">
        <v>168</v>
      </c>
      <c r="B55" s="997"/>
      <c r="C55" s="338"/>
      <c r="D55" s="236"/>
      <c r="E55" s="435">
        <f>+E48-E54</f>
        <v>2156158.0956117213</v>
      </c>
    </row>
    <row r="56" spans="1:5" ht="12.75">
      <c r="A56" s="236"/>
      <c r="B56" s="236"/>
      <c r="C56" s="338"/>
      <c r="D56" s="236"/>
      <c r="E56" s="435"/>
    </row>
    <row r="57" spans="1:7" ht="15">
      <c r="A57" s="263" t="s">
        <v>170</v>
      </c>
      <c r="B57" s="263"/>
      <c r="C57" s="263"/>
      <c r="D57" s="439"/>
      <c r="E57" s="563">
        <v>2.028487982912724</v>
      </c>
      <c r="G57" s="18"/>
    </row>
    <row r="58" spans="1:7" ht="12.75">
      <c r="A58" s="997" t="s">
        <v>169</v>
      </c>
      <c r="B58" s="997"/>
      <c r="C58" s="421">
        <f>CdadProfesionales+CdadTecnicos</f>
        <v>7</v>
      </c>
      <c r="D58" s="236"/>
      <c r="E58" s="248">
        <f>C58*E46*XMesPersonalPromedio*FactorMultFinal</f>
        <v>130537650.0024551</v>
      </c>
      <c r="G58" s="18"/>
    </row>
    <row r="59" spans="1:5" ht="12.75">
      <c r="A59" s="997" t="s">
        <v>160</v>
      </c>
      <c r="B59" s="997"/>
      <c r="C59" s="338"/>
      <c r="D59" s="236"/>
      <c r="E59" s="248">
        <f>Equipos+Viajes+Ensayos+Campamento+Tramite</f>
        <v>25461099.997544874</v>
      </c>
    </row>
    <row r="60" spans="1:5" ht="12.75">
      <c r="A60" s="998" t="s">
        <v>161</v>
      </c>
      <c r="B60" s="998"/>
      <c r="C60" s="437"/>
      <c r="D60" s="263"/>
      <c r="E60" s="435">
        <f>SUM(E58:E59)</f>
        <v>155998749.99999997</v>
      </c>
    </row>
    <row r="61" spans="1:5" ht="12.75">
      <c r="A61" s="997" t="s">
        <v>120</v>
      </c>
      <c r="B61" s="997"/>
      <c r="C61" s="438">
        <f>+'IMPUESTOS Y VR TOTAL'!C74</f>
        <v>0.16</v>
      </c>
      <c r="D61" s="236"/>
      <c r="E61" s="248">
        <f>+E60*C61</f>
        <v>24959799.999999996</v>
      </c>
    </row>
    <row r="62" spans="1:5" ht="15">
      <c r="A62" s="1004" t="s">
        <v>121</v>
      </c>
      <c r="B62" s="1004"/>
      <c r="C62" s="588"/>
      <c r="D62" s="589"/>
      <c r="E62" s="588">
        <f>+E61+E60</f>
        <v>180958549.99999997</v>
      </c>
    </row>
    <row r="63" spans="1:5" ht="12.75">
      <c r="A63" s="994" t="e">
        <f>UPPER([3]!pesosmn(ValorTotConsultoria))</f>
        <v>#NAME?</v>
      </c>
      <c r="B63" s="995"/>
      <c r="C63" s="995"/>
      <c r="D63" s="995"/>
      <c r="E63" s="440">
        <f>+E62-E48</f>
        <v>0</v>
      </c>
    </row>
    <row r="64" spans="1:5" ht="12.75">
      <c r="A64" s="996"/>
      <c r="B64" s="996"/>
      <c r="C64" s="996"/>
      <c r="D64" s="996"/>
      <c r="E64" s="532"/>
    </row>
    <row r="65" spans="1:5" ht="12.75">
      <c r="A65" s="282"/>
      <c r="B65" s="282"/>
      <c r="C65" s="282"/>
      <c r="D65" s="282"/>
      <c r="E65" s="440"/>
    </row>
    <row r="66" spans="1:5" ht="12.75">
      <c r="A66" s="282"/>
      <c r="B66" s="282"/>
      <c r="C66" s="282"/>
      <c r="D66" s="282"/>
      <c r="E66" s="441"/>
    </row>
    <row r="67" spans="1:10" ht="12.75">
      <c r="A67" s="195" t="s">
        <v>628</v>
      </c>
      <c r="B67" s="261"/>
      <c r="C67" s="356" t="str">
        <f>'INFORMACION DEL FP'!C30</f>
        <v>DLOPEZ</v>
      </c>
      <c r="D67" s="262"/>
      <c r="E67" s="361"/>
      <c r="F67" s="20"/>
      <c r="G67" s="26"/>
      <c r="H67" s="24"/>
      <c r="J67" s="25"/>
    </row>
    <row r="68" spans="5:14" ht="12.75">
      <c r="E68" s="17"/>
      <c r="H68" s="20"/>
      <c r="M68" s="20"/>
      <c r="N68" s="16"/>
    </row>
    <row r="69" spans="7:14" ht="12.75">
      <c r="G69" s="18"/>
      <c r="H69" s="21"/>
      <c r="K69" s="19"/>
      <c r="L69" s="19"/>
      <c r="M69" s="20"/>
      <c r="N69" s="16"/>
    </row>
    <row r="70" spans="7:14" ht="12.75">
      <c r="G70" s="18"/>
      <c r="H70" s="21"/>
      <c r="L70" s="19"/>
      <c r="M70" s="20"/>
      <c r="N70" s="16"/>
    </row>
    <row r="71" spans="7:14" ht="12.75">
      <c r="G71" s="18"/>
      <c r="H71" s="21"/>
      <c r="L71" s="20"/>
      <c r="M71" s="20"/>
      <c r="N71" s="16"/>
    </row>
    <row r="72" spans="7:14" ht="12.75">
      <c r="G72" s="18"/>
      <c r="H72" s="21"/>
      <c r="L72" s="20"/>
      <c r="M72" s="20"/>
      <c r="N72" s="16"/>
    </row>
    <row r="73" spans="7:14" ht="12.75">
      <c r="G73" s="18"/>
      <c r="H73" s="21"/>
      <c r="L73" s="20"/>
      <c r="M73" s="20"/>
      <c r="N73" s="16"/>
    </row>
    <row r="74" spans="7:14" ht="12.75">
      <c r="G74" s="18"/>
      <c r="H74" s="21"/>
      <c r="L74" s="20"/>
      <c r="M74" s="20"/>
      <c r="N74" s="16"/>
    </row>
    <row r="75" spans="7:14" ht="12.75">
      <c r="G75" s="18"/>
      <c r="H75" s="21"/>
      <c r="L75" s="20"/>
      <c r="M75" s="20"/>
      <c r="N75" s="16"/>
    </row>
    <row r="76" spans="7:14" ht="12.75">
      <c r="G76" s="18"/>
      <c r="H76" s="21"/>
      <c r="L76" s="20"/>
      <c r="M76" s="19"/>
      <c r="N76" s="16"/>
    </row>
    <row r="77" spans="7:14" ht="12.75">
      <c r="G77" s="18"/>
      <c r="H77" s="21"/>
      <c r="L77" s="20"/>
      <c r="M77" s="20"/>
      <c r="N77" s="16"/>
    </row>
    <row r="78" spans="7:14" ht="12.75">
      <c r="G78" s="18"/>
      <c r="H78" s="21"/>
      <c r="L78" s="20"/>
      <c r="M78" s="20"/>
      <c r="N78" s="16"/>
    </row>
    <row r="79" spans="7:14" ht="12.75">
      <c r="G79" s="18"/>
      <c r="H79" s="21"/>
      <c r="L79" s="20"/>
      <c r="M79" s="20"/>
      <c r="N79" s="16"/>
    </row>
    <row r="80" spans="7:14" ht="12.75">
      <c r="G80" s="18"/>
      <c r="H80" s="21"/>
      <c r="L80" s="20"/>
      <c r="M80" s="20"/>
      <c r="N80" s="16"/>
    </row>
    <row r="81" spans="7:14" ht="12.75">
      <c r="G81" s="18"/>
      <c r="H81" s="21"/>
      <c r="L81" s="20"/>
      <c r="M81" s="20"/>
      <c r="N81" s="16"/>
    </row>
    <row r="82" spans="7:14" ht="12.75">
      <c r="G82" s="18"/>
      <c r="H82" s="21"/>
      <c r="L82" s="20"/>
      <c r="M82" s="20"/>
      <c r="N82" s="16"/>
    </row>
    <row r="83" spans="7:14" ht="12.75">
      <c r="G83" s="18"/>
      <c r="H83" s="21"/>
      <c r="L83" s="20"/>
      <c r="M83" s="20"/>
      <c r="N83" s="16"/>
    </row>
    <row r="84" spans="7:14" ht="12.75">
      <c r="G84" s="18"/>
      <c r="H84" s="21"/>
      <c r="L84" s="20"/>
      <c r="M84" s="20"/>
      <c r="N84" s="16"/>
    </row>
    <row r="85" spans="7:14" ht="12.75">
      <c r="G85" s="18"/>
      <c r="H85" s="21"/>
      <c r="L85" s="20"/>
      <c r="M85" s="20"/>
      <c r="N85" s="16"/>
    </row>
    <row r="86" spans="7:14" ht="12.75">
      <c r="G86" s="18"/>
      <c r="H86" s="21"/>
      <c r="L86" s="20"/>
      <c r="M86" s="20"/>
      <c r="N86" s="16"/>
    </row>
    <row r="87" spans="7:14" ht="12.75">
      <c r="G87" s="18"/>
      <c r="H87" s="21"/>
      <c r="L87" s="20"/>
      <c r="M87" s="20"/>
      <c r="N87" s="16"/>
    </row>
    <row r="88" spans="7:10" ht="12.75">
      <c r="G88" s="26"/>
      <c r="H88" s="24"/>
      <c r="J88" s="25"/>
    </row>
    <row r="89" spans="7:11" ht="12.75">
      <c r="G89" s="18"/>
      <c r="H89" s="21"/>
      <c r="K89" s="19"/>
    </row>
    <row r="90" spans="7:8" ht="12.75">
      <c r="G90" s="18"/>
      <c r="H90" s="21"/>
    </row>
    <row r="91" spans="7:8" ht="12.75">
      <c r="G91" s="18"/>
      <c r="H91" s="21"/>
    </row>
    <row r="92" spans="7:8" ht="12.75">
      <c r="G92" s="18"/>
      <c r="H92" s="21"/>
    </row>
    <row r="93" spans="7:8" ht="12.75">
      <c r="G93" s="18"/>
      <c r="H93" s="21"/>
    </row>
    <row r="94" spans="7:8" ht="12.75">
      <c r="G94" s="18"/>
      <c r="H94" s="21"/>
    </row>
    <row r="95" spans="7:8" ht="12.75">
      <c r="G95" s="18"/>
      <c r="H95" s="21"/>
    </row>
    <row r="96" spans="7:8" ht="12.75">
      <c r="G96" s="18"/>
      <c r="H96" s="21"/>
    </row>
    <row r="97" spans="7:8" ht="12.75">
      <c r="G97" s="18"/>
      <c r="H97" s="21"/>
    </row>
    <row r="98" spans="7:8" ht="12.75">
      <c r="G98" s="18"/>
      <c r="H98" s="21"/>
    </row>
  </sheetData>
  <sheetProtection/>
  <mergeCells count="21">
    <mergeCell ref="A49:B49"/>
    <mergeCell ref="C7:D7"/>
    <mergeCell ref="A48:B48"/>
    <mergeCell ref="A62:B62"/>
    <mergeCell ref="A50:B50"/>
    <mergeCell ref="A54:B54"/>
    <mergeCell ref="A58:B58"/>
    <mergeCell ref="A51:B51"/>
    <mergeCell ref="A55:B55"/>
    <mergeCell ref="A1:E1"/>
    <mergeCell ref="A2:E2"/>
    <mergeCell ref="A3:E3"/>
    <mergeCell ref="B4:E4"/>
    <mergeCell ref="A5:E5"/>
    <mergeCell ref="A23:C23"/>
    <mergeCell ref="A63:D64"/>
    <mergeCell ref="A53:B53"/>
    <mergeCell ref="A52:B52"/>
    <mergeCell ref="A61:B61"/>
    <mergeCell ref="A60:B60"/>
    <mergeCell ref="A59:B59"/>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9" r:id="rId2"/>
  <headerFooter alignWithMargins="0">
    <oddHeader>&amp;CAnálisis de Costos - Área de Estudios Previos</oddHeader>
    <oddFooter>&amp;L16/02/2010&amp;R0</oddFooter>
  </headerFooter>
  <legacyDrawing r:id="rId1"/>
</worksheet>
</file>

<file path=xl/worksheets/sheet7.xml><?xml version="1.0" encoding="utf-8"?>
<worksheet xmlns="http://schemas.openxmlformats.org/spreadsheetml/2006/main" xmlns:r="http://schemas.openxmlformats.org/officeDocument/2006/relationships">
  <sheetPr codeName="Hoja6">
    <tabColor theme="5" tint="-0.24997000396251678"/>
    <pageSetUpPr fitToPage="1"/>
  </sheetPr>
  <dimension ref="A1:IU1349"/>
  <sheetViews>
    <sheetView showGridLines="0" zoomScale="85" zoomScaleNormal="85" zoomScalePageLayoutView="0" workbookViewId="0" topLeftCell="A1">
      <selection activeCell="M47" sqref="M47"/>
    </sheetView>
  </sheetViews>
  <sheetFormatPr defaultColWidth="12" defaultRowHeight="12.75"/>
  <cols>
    <col min="1" max="1" width="39.33203125" style="182" customWidth="1"/>
    <col min="2" max="2" width="12" style="183" customWidth="1"/>
    <col min="3" max="3" width="20.83203125" style="185" customWidth="1"/>
    <col min="4" max="4" width="9.66015625" style="186" bestFit="1" customWidth="1"/>
    <col min="5" max="5" width="13.33203125" style="183" bestFit="1" customWidth="1"/>
    <col min="6" max="6" width="15.83203125" style="183" customWidth="1"/>
    <col min="7" max="7" width="7.5" style="183" bestFit="1" customWidth="1"/>
    <col min="8" max="8" width="19.33203125" style="183" bestFit="1" customWidth="1"/>
    <col min="9" max="9" width="20" style="183" customWidth="1"/>
    <col min="10" max="10" width="9" style="182" bestFit="1" customWidth="1"/>
    <col min="11" max="11" width="9.5" style="182" hidden="1" customWidth="1"/>
    <col min="12" max="12" width="7.83203125" style="182" bestFit="1" customWidth="1"/>
    <col min="13" max="13" width="16.66015625" style="182" bestFit="1" customWidth="1"/>
    <col min="14" max="14" width="19.33203125" style="183" bestFit="1" customWidth="1"/>
    <col min="15" max="15" width="17" style="182" bestFit="1" customWidth="1"/>
    <col min="16" max="16" width="15" style="182" bestFit="1" customWidth="1"/>
    <col min="17" max="247" width="12" style="182" customWidth="1"/>
    <col min="248" max="248" width="16" style="182" bestFit="1" customWidth="1"/>
    <col min="249" max="250" width="12" style="182" customWidth="1"/>
    <col min="251" max="251" width="22.16015625" style="182" bestFit="1" customWidth="1"/>
    <col min="252" max="252" width="30" style="182" bestFit="1" customWidth="1"/>
    <col min="253" max="253" width="14" style="183" bestFit="1" customWidth="1"/>
    <col min="254" max="16384" width="12" style="182" customWidth="1"/>
  </cols>
  <sheetData>
    <row r="1" spans="1:15" ht="15.75">
      <c r="A1" s="949" t="s">
        <v>790</v>
      </c>
      <c r="B1" s="949"/>
      <c r="C1" s="949"/>
      <c r="D1" s="949"/>
      <c r="E1" s="949"/>
      <c r="F1" s="949"/>
      <c r="G1" s="949"/>
      <c r="H1" s="949"/>
      <c r="I1" s="949"/>
      <c r="J1" s="389"/>
      <c r="K1" s="389"/>
      <c r="L1" s="389"/>
      <c r="M1" s="389"/>
      <c r="N1" s="389"/>
      <c r="O1" s="389"/>
    </row>
    <row r="2" spans="1:15" ht="16.5" customHeight="1">
      <c r="A2" s="1007">
        <f>+'INFORMACION DEL FP'!A2:D2</f>
        <v>0</v>
      </c>
      <c r="B2" s="1007"/>
      <c r="C2" s="1007"/>
      <c r="D2" s="1007"/>
      <c r="E2" s="1007"/>
      <c r="F2" s="1007"/>
      <c r="G2" s="1007"/>
      <c r="H2" s="1007"/>
      <c r="I2" s="1007"/>
      <c r="J2" s="389"/>
      <c r="K2" s="389"/>
      <c r="L2" s="389"/>
      <c r="M2" s="389"/>
      <c r="N2" s="389"/>
      <c r="O2" s="389"/>
    </row>
    <row r="3" spans="1:15" ht="6.75" customHeight="1">
      <c r="A3" s="951"/>
      <c r="B3" s="951"/>
      <c r="C3" s="951"/>
      <c r="D3" s="951"/>
      <c r="E3" s="951"/>
      <c r="F3" s="951"/>
      <c r="G3" s="951"/>
      <c r="H3" s="951"/>
      <c r="I3" s="951"/>
      <c r="J3" s="389"/>
      <c r="K3" s="389"/>
      <c r="L3" s="389"/>
      <c r="M3" s="389"/>
      <c r="N3" s="389"/>
      <c r="O3" s="389"/>
    </row>
    <row r="4" spans="9:252" ht="12.75">
      <c r="I4" s="187"/>
      <c r="J4" s="201"/>
      <c r="K4" s="201"/>
      <c r="L4" s="201"/>
      <c r="M4" s="201"/>
      <c r="N4" s="187"/>
      <c r="IR4" s="213"/>
    </row>
    <row r="5" spans="1:252" ht="67.5" customHeight="1">
      <c r="A5" s="547" t="s">
        <v>32</v>
      </c>
      <c r="B5" s="1002" t="str">
        <f>+'PERSONAL Y OTROS'!B6</f>
        <v>INTERVENTORÍA TÉCNICA, ADMINISTRATIVA, FINANCIERA, CONTABLE, AMBIENTAL, SOCIAL  Y  JURÍDICA PARA LA EJECUCIÓN CONDICIONAL POR FASES DEL PROYECTO "MEJORAMIENTO DEL SISTEMA DE ACUEDUCTO SEGÚN PLAN MAESTRO DEL MUNICIPIO DE RONCESVALLES" - FASE III</v>
      </c>
      <c r="C5" s="1002"/>
      <c r="D5" s="1002"/>
      <c r="E5" s="1002"/>
      <c r="F5" s="1002"/>
      <c r="G5" s="1002"/>
      <c r="H5" s="1002"/>
      <c r="I5" s="1002"/>
      <c r="J5" s="501"/>
      <c r="K5" s="501"/>
      <c r="L5" s="501"/>
      <c r="M5" s="501"/>
      <c r="N5" s="502"/>
      <c r="P5" s="339" t="s">
        <v>34</v>
      </c>
      <c r="Q5" s="213"/>
      <c r="II5" s="182" t="s">
        <v>114</v>
      </c>
      <c r="IP5" s="213"/>
      <c r="IR5" s="213"/>
    </row>
    <row r="6" spans="1:253" s="201" customFormat="1" ht="12" customHeight="1">
      <c r="A6" s="194"/>
      <c r="B6" s="195"/>
      <c r="C6" s="195"/>
      <c r="D6" s="195"/>
      <c r="E6" s="195"/>
      <c r="F6" s="197"/>
      <c r="G6" s="197"/>
      <c r="H6" s="197"/>
      <c r="I6" s="198"/>
      <c r="J6" s="198"/>
      <c r="K6" s="198"/>
      <c r="L6" s="198"/>
      <c r="M6" s="198"/>
      <c r="N6" s="195"/>
      <c r="P6" s="339" t="s">
        <v>35</v>
      </c>
      <c r="Q6" s="272"/>
      <c r="II6" s="182" t="s">
        <v>115</v>
      </c>
      <c r="IN6" s="182"/>
      <c r="IO6" s="182"/>
      <c r="IP6" s="213"/>
      <c r="IR6" s="182"/>
      <c r="IS6" s="183"/>
    </row>
    <row r="7" spans="1:252" ht="15" customHeight="1">
      <c r="A7" s="590" t="s">
        <v>33</v>
      </c>
      <c r="B7" s="591" t="str">
        <f>+'IMPUESTOS Y VR TOTAL'!C51</f>
        <v>INTERVENTORÍA</v>
      </c>
      <c r="C7" s="592"/>
      <c r="D7" s="593">
        <v>3</v>
      </c>
      <c r="E7" s="594" t="s">
        <v>162</v>
      </c>
      <c r="F7" s="591"/>
      <c r="G7" s="591"/>
      <c r="H7" s="591"/>
      <c r="I7" s="591"/>
      <c r="J7" s="201"/>
      <c r="K7" s="201"/>
      <c r="L7" s="201"/>
      <c r="M7" s="201"/>
      <c r="N7" s="187"/>
      <c r="P7" s="339" t="s">
        <v>36</v>
      </c>
      <c r="Q7" s="213"/>
      <c r="II7" s="182" t="s">
        <v>116</v>
      </c>
      <c r="IP7" s="213"/>
      <c r="IR7" s="213"/>
    </row>
    <row r="8" spans="1:252" ht="15" customHeight="1">
      <c r="A8" s="191"/>
      <c r="D8" s="182"/>
      <c r="I8" s="198"/>
      <c r="J8" s="198"/>
      <c r="K8" s="198"/>
      <c r="L8" s="198"/>
      <c r="M8" s="198"/>
      <c r="N8" s="187"/>
      <c r="Q8" s="213"/>
      <c r="II8" s="201" t="s">
        <v>117</v>
      </c>
      <c r="IP8" s="213"/>
      <c r="IR8" s="272"/>
    </row>
    <row r="9" spans="1:252" ht="15" customHeight="1">
      <c r="A9" s="596" t="s">
        <v>56</v>
      </c>
      <c r="B9" s="908">
        <f>+'PERSONAL Y OTROS'!B10</f>
        <v>25.799999999999997</v>
      </c>
      <c r="C9" s="592" t="s">
        <v>57</v>
      </c>
      <c r="D9" s="909">
        <f>+'PERSONAL Y OTROS'!D10</f>
        <v>6</v>
      </c>
      <c r="E9" s="591" t="s">
        <v>58</v>
      </c>
      <c r="I9" s="335"/>
      <c r="J9" s="335"/>
      <c r="K9" s="335"/>
      <c r="L9" s="335"/>
      <c r="M9" s="335"/>
      <c r="N9" s="195"/>
      <c r="O9" s="391"/>
      <c r="P9" s="339"/>
      <c r="Q9" s="213"/>
      <c r="II9" s="201" t="s">
        <v>118</v>
      </c>
      <c r="IP9" s="213"/>
      <c r="IR9" s="272"/>
    </row>
    <row r="10" spans="1:252" ht="15" customHeight="1">
      <c r="A10" s="191"/>
      <c r="D10" s="206"/>
      <c r="Q10" s="213"/>
      <c r="IN10" s="213"/>
      <c r="IP10" s="213"/>
      <c r="IR10" s="272"/>
    </row>
    <row r="11" spans="1:252" ht="15" customHeight="1">
      <c r="A11" s="596" t="s">
        <v>141</v>
      </c>
      <c r="B11" s="599"/>
      <c r="C11" s="313">
        <f>SUM(B13:B32)</f>
        <v>4</v>
      </c>
      <c r="D11" s="596"/>
      <c r="E11" s="599"/>
      <c r="F11" s="599"/>
      <c r="G11" s="599"/>
      <c r="H11" s="599"/>
      <c r="I11" s="599">
        <f>SUM(H13:H32)</f>
        <v>107316986.28732389</v>
      </c>
      <c r="Q11" s="213"/>
      <c r="IO11" s="185"/>
      <c r="IP11" s="213"/>
      <c r="IR11" s="213"/>
    </row>
    <row r="12" spans="1:255" s="185" customFormat="1" ht="15" customHeight="1">
      <c r="A12" s="314" t="s">
        <v>68</v>
      </c>
      <c r="B12" s="313" t="s">
        <v>59</v>
      </c>
      <c r="C12" s="314" t="s">
        <v>1</v>
      </c>
      <c r="D12" s="314" t="s">
        <v>39</v>
      </c>
      <c r="E12" s="313" t="s">
        <v>60</v>
      </c>
      <c r="F12" s="313" t="s">
        <v>61</v>
      </c>
      <c r="G12" s="313" t="s">
        <v>163</v>
      </c>
      <c r="H12" s="313" t="s">
        <v>63</v>
      </c>
      <c r="I12" s="389"/>
      <c r="J12" s="389"/>
      <c r="K12" s="389"/>
      <c r="L12" s="389"/>
      <c r="M12" s="389"/>
      <c r="Q12" s="213"/>
      <c r="IN12" s="182"/>
      <c r="IO12" s="182"/>
      <c r="IP12" s="213"/>
      <c r="IU12" s="182"/>
    </row>
    <row r="13" spans="1:17" ht="15" customHeight="1">
      <c r="A13" s="600" t="str">
        <f>+'PERSONAL Y OTROS'!A14</f>
        <v>Director de Interventoria</v>
      </c>
      <c r="B13" s="601">
        <f>+'PERSONAL Y OTROS'!B14</f>
        <v>1</v>
      </c>
      <c r="C13" s="602" t="str">
        <f>+'PERSONAL Y OTROS'!C14</f>
        <v>P2 10-07</v>
      </c>
      <c r="D13" s="221">
        <f>+'PERSONAL Y OTROS'!D14</f>
        <v>0.2</v>
      </c>
      <c r="E13" s="601">
        <f>+'PERSONAL Y OTROS'!E14</f>
        <v>5.16</v>
      </c>
      <c r="F13" s="506">
        <f>+'PERSONAL Y OTROS'!H14</f>
        <v>7469844.870261756</v>
      </c>
      <c r="G13" s="506">
        <f>FactorMultFinal</f>
        <v>2.028487982912724</v>
      </c>
      <c r="H13" s="254">
        <f>+G13*F13*D13*$D$9*B13</f>
        <v>18182988.664257873</v>
      </c>
      <c r="I13" s="245"/>
      <c r="J13" s="245"/>
      <c r="K13" s="245"/>
      <c r="L13" s="245"/>
      <c r="M13" s="245"/>
      <c r="Q13" s="213"/>
    </row>
    <row r="14" spans="1:253" ht="15" customHeight="1">
      <c r="A14" s="559" t="str">
        <f>+'PERSONAL Y OTROS'!A15</f>
        <v>Residente de Interventoria Obra</v>
      </c>
      <c r="B14" s="603">
        <f>+'PERSONAL Y OTROS'!B15</f>
        <v>1</v>
      </c>
      <c r="C14" s="604" t="str">
        <f>+'PERSONAL Y OTROS'!C15</f>
        <v>P3 08-05</v>
      </c>
      <c r="D14" s="221">
        <f>+'PERSONAL Y OTROS'!D15</f>
        <v>1</v>
      </c>
      <c r="E14" s="603">
        <f>+'PERSONAL Y OTROS'!E15</f>
        <v>25.799999999999997</v>
      </c>
      <c r="F14" s="217">
        <f>+'PERSONAL Y OTROS'!H15</f>
        <v>6302510.345415276</v>
      </c>
      <c r="G14" s="217">
        <f aca="true" t="shared" si="0" ref="G14:G32">FactorMultFinal</f>
        <v>2.028487982912724</v>
      </c>
      <c r="H14" s="222">
        <f aca="true" t="shared" si="1" ref="H14:H32">+G14*F14*D14*$D$9*B14</f>
        <v>76707398.98714805</v>
      </c>
      <c r="I14" s="245"/>
      <c r="J14" s="245"/>
      <c r="K14" s="245"/>
      <c r="L14" s="245"/>
      <c r="M14" s="245"/>
      <c r="Q14" s="213"/>
      <c r="IP14" s="213"/>
      <c r="IS14" s="276"/>
    </row>
    <row r="15" spans="1:250" ht="15" customHeight="1">
      <c r="A15" s="559" t="str">
        <f>+'PERSONAL Y OTROS'!A16</f>
        <v>Profesional Social</v>
      </c>
      <c r="B15" s="603">
        <f>+'PERSONAL Y OTROS'!B16</f>
        <v>1</v>
      </c>
      <c r="C15" s="604" t="str">
        <f>+'PERSONAL Y OTROS'!C16</f>
        <v>P4 06-04</v>
      </c>
      <c r="D15" s="221">
        <f>+'PERSONAL Y OTROS'!D16</f>
        <v>0.1</v>
      </c>
      <c r="E15" s="603">
        <f>+'PERSONAL Y OTROS'!E16</f>
        <v>2.58</v>
      </c>
      <c r="F15" s="217">
        <f>+'PERSONAL Y OTROS'!H16</f>
        <v>5368094.6811602255</v>
      </c>
      <c r="G15" s="217">
        <f t="shared" si="0"/>
        <v>2.028487982912724</v>
      </c>
      <c r="H15" s="222">
        <f t="shared" si="1"/>
        <v>6533469.3311227355</v>
      </c>
      <c r="I15" s="245"/>
      <c r="J15" s="245"/>
      <c r="K15" s="245"/>
      <c r="L15" s="245"/>
      <c r="M15" s="245"/>
      <c r="Q15" s="213"/>
      <c r="IP15" s="213"/>
    </row>
    <row r="16" spans="1:250" ht="15" customHeight="1" hidden="1">
      <c r="A16" s="559" t="str">
        <f>+'PERSONAL Y OTROS'!A17</f>
        <v>Esp. Hidráulico</v>
      </c>
      <c r="B16" s="603">
        <f>+'PERSONAL Y OTROS'!B17</f>
        <v>0</v>
      </c>
      <c r="C16" s="604" t="str">
        <f>+'PERSONAL Y OTROS'!C17</f>
        <v>P3 08-05</v>
      </c>
      <c r="D16" s="221">
        <f>+'PERSONAL Y OTROS'!D17</f>
        <v>0</v>
      </c>
      <c r="E16" s="603">
        <f>+'PERSONAL Y OTROS'!E17</f>
        <v>0</v>
      </c>
      <c r="F16" s="217">
        <f>+'PERSONAL Y OTROS'!H17</f>
        <v>6302510.345415276</v>
      </c>
      <c r="G16" s="217">
        <f t="shared" si="0"/>
        <v>2.028487982912724</v>
      </c>
      <c r="H16" s="222">
        <f t="shared" si="1"/>
        <v>0</v>
      </c>
      <c r="I16" s="245"/>
      <c r="J16" s="245"/>
      <c r="K16" s="245"/>
      <c r="L16" s="245"/>
      <c r="M16" s="245"/>
      <c r="Q16" s="213"/>
      <c r="IP16" s="213"/>
    </row>
    <row r="17" spans="1:253" ht="15" customHeight="1" hidden="1">
      <c r="A17" s="559" t="str">
        <f>+'PERSONAL Y OTROS'!A18</f>
        <v>Especialista Juridico</v>
      </c>
      <c r="B17" s="603">
        <f>+'PERSONAL Y OTROS'!B18</f>
        <v>0</v>
      </c>
      <c r="C17" s="604" t="str">
        <f>+'PERSONAL Y OTROS'!C18</f>
        <v>P4 06-04</v>
      </c>
      <c r="D17" s="221">
        <f>+'PERSONAL Y OTROS'!D18</f>
        <v>0</v>
      </c>
      <c r="E17" s="603">
        <f>+'PERSONAL Y OTROS'!E18</f>
        <v>0</v>
      </c>
      <c r="F17" s="217">
        <f>+'PERSONAL Y OTROS'!H18</f>
        <v>5368094.6811602255</v>
      </c>
      <c r="G17" s="217">
        <f t="shared" si="0"/>
        <v>2.028487982912724</v>
      </c>
      <c r="H17" s="222">
        <f t="shared" si="1"/>
        <v>0</v>
      </c>
      <c r="I17" s="245"/>
      <c r="J17" s="245"/>
      <c r="K17" s="245"/>
      <c r="L17" s="245"/>
      <c r="M17" s="245"/>
      <c r="Q17" s="213"/>
      <c r="IP17" s="213"/>
      <c r="IS17" s="276"/>
    </row>
    <row r="18" spans="1:250" ht="15" customHeight="1" hidden="1">
      <c r="A18" s="559" t="str">
        <f>+'PERSONAL Y OTROS'!A19</f>
        <v>Esp. Ambiental</v>
      </c>
      <c r="B18" s="603">
        <f>+'PERSONAL Y OTROS'!B19</f>
        <v>1</v>
      </c>
      <c r="C18" s="604" t="str">
        <f>+'PERSONAL Y OTROS'!C19</f>
        <v>P5 04-03</v>
      </c>
      <c r="D18" s="221">
        <f>+'PERSONAL Y OTROS'!D19</f>
        <v>0.1</v>
      </c>
      <c r="E18" s="603">
        <f>+'PERSONAL Y OTROS'!E19</f>
        <v>2.58</v>
      </c>
      <c r="F18" s="217">
        <f>+'PERSONAL Y OTROS'!H19</f>
        <v>4841972.078412518</v>
      </c>
      <c r="G18" s="217">
        <f t="shared" si="0"/>
        <v>2.028487982912724</v>
      </c>
      <c r="H18" s="222">
        <f t="shared" si="1"/>
        <v>5893129.304795243</v>
      </c>
      <c r="I18" s="245"/>
      <c r="J18" s="245"/>
      <c r="K18" s="245"/>
      <c r="L18" s="245"/>
      <c r="M18" s="245"/>
      <c r="Q18" s="213"/>
      <c r="IP18" s="213"/>
    </row>
    <row r="19" spans="1:250" ht="15" customHeight="1" hidden="1">
      <c r="A19" s="559" t="str">
        <f>+'PERSONAL Y OTROS'!A20</f>
        <v>Profesional Social</v>
      </c>
      <c r="B19" s="603">
        <f>+'PERSONAL Y OTROS'!B20</f>
        <v>0</v>
      </c>
      <c r="C19" s="604" t="str">
        <f>+'PERSONAL Y OTROS'!C20</f>
        <v>P5 04-03</v>
      </c>
      <c r="D19" s="221">
        <f>+'PERSONAL Y OTROS'!D20</f>
        <v>0</v>
      </c>
      <c r="E19" s="603">
        <f>+'PERSONAL Y OTROS'!E20</f>
        <v>0</v>
      </c>
      <c r="F19" s="217">
        <f>+'PERSONAL Y OTROS'!H20</f>
        <v>4841972.078412518</v>
      </c>
      <c r="G19" s="217">
        <f t="shared" si="0"/>
        <v>2.028487982912724</v>
      </c>
      <c r="H19" s="222">
        <f t="shared" si="1"/>
        <v>0</v>
      </c>
      <c r="I19" s="245"/>
      <c r="J19" s="245"/>
      <c r="K19" s="245"/>
      <c r="L19" s="245"/>
      <c r="M19" s="245"/>
      <c r="Q19" s="213"/>
      <c r="IP19" s="213"/>
    </row>
    <row r="20" spans="1:250" ht="15" customHeight="1" hidden="1">
      <c r="A20" s="559" t="str">
        <f>+'PERSONAL Y OTROS'!A21</f>
        <v>Profesional Costos y Presup.</v>
      </c>
      <c r="B20" s="603">
        <f>+'PERSONAL Y OTROS'!B21</f>
        <v>0</v>
      </c>
      <c r="C20" s="604" t="str">
        <f>+'PERSONAL Y OTROS'!C21</f>
        <v>P5 04-03</v>
      </c>
      <c r="D20" s="221">
        <f>+'PERSONAL Y OTROS'!D21</f>
        <v>0</v>
      </c>
      <c r="E20" s="603">
        <f>+'PERSONAL Y OTROS'!E21</f>
        <v>0</v>
      </c>
      <c r="F20" s="217">
        <f>+'PERSONAL Y OTROS'!H21</f>
        <v>4841972.078412518</v>
      </c>
      <c r="G20" s="217">
        <f t="shared" si="0"/>
        <v>2.028487982912724</v>
      </c>
      <c r="H20" s="222">
        <f t="shared" si="1"/>
        <v>0</v>
      </c>
      <c r="I20" s="245"/>
      <c r="J20" s="245"/>
      <c r="K20" s="245"/>
      <c r="L20" s="245"/>
      <c r="M20" s="245"/>
      <c r="Q20" s="213"/>
      <c r="IP20" s="213"/>
    </row>
    <row r="21" spans="1:250" ht="15" customHeight="1" hidden="1">
      <c r="A21" s="559" t="str">
        <f>+'PERSONAL Y OTROS'!A22</f>
        <v>Profesional de apoyo</v>
      </c>
      <c r="B21" s="603">
        <f>+'PERSONAL Y OTROS'!B22</f>
        <v>0</v>
      </c>
      <c r="C21" s="604" t="str">
        <f>+'PERSONAL Y OTROS'!C22</f>
        <v>P5 04-03</v>
      </c>
      <c r="D21" s="221">
        <f>+'PERSONAL Y OTROS'!D22</f>
        <v>0</v>
      </c>
      <c r="E21" s="603">
        <f>+'PERSONAL Y OTROS'!E22</f>
        <v>0</v>
      </c>
      <c r="F21" s="217">
        <f>+'PERSONAL Y OTROS'!H22</f>
        <v>4841972.078412518</v>
      </c>
      <c r="G21" s="217">
        <f t="shared" si="0"/>
        <v>2.028487982912724</v>
      </c>
      <c r="H21" s="222">
        <f t="shared" si="1"/>
        <v>0</v>
      </c>
      <c r="I21" s="245"/>
      <c r="J21" s="245"/>
      <c r="K21" s="245"/>
      <c r="L21" s="245"/>
      <c r="M21" s="245"/>
      <c r="Q21" s="213"/>
      <c r="IP21" s="213"/>
    </row>
    <row r="22" spans="1:250" ht="15" customHeight="1" hidden="1">
      <c r="A22" s="559" t="str">
        <f>+'PERSONAL Y OTROS'!A23</f>
        <v>Ing. Forestal</v>
      </c>
      <c r="B22" s="603">
        <f>+'PERSONAL Y OTROS'!B23</f>
        <v>0</v>
      </c>
      <c r="C22" s="604" t="str">
        <f>+'PERSONAL Y OTROS'!C23</f>
        <v>P2 10-07</v>
      </c>
      <c r="D22" s="221">
        <f>+'PERSONAL Y OTROS'!D23</f>
        <v>0</v>
      </c>
      <c r="E22" s="603">
        <f>+'PERSONAL Y OTROS'!E23</f>
        <v>0</v>
      </c>
      <c r="F22" s="217">
        <f>+'PERSONAL Y OTROS'!H23</f>
        <v>7469844.870261756</v>
      </c>
      <c r="G22" s="217">
        <f t="shared" si="0"/>
        <v>2.028487982912724</v>
      </c>
      <c r="H22" s="222">
        <f t="shared" si="1"/>
        <v>0</v>
      </c>
      <c r="I22" s="245"/>
      <c r="J22" s="245"/>
      <c r="K22" s="245"/>
      <c r="L22" s="245"/>
      <c r="M22" s="245"/>
      <c r="Q22" s="213"/>
      <c r="IN22" s="213"/>
      <c r="IP22" s="213"/>
    </row>
    <row r="23" spans="1:250" ht="15" customHeight="1" hidden="1">
      <c r="A23" s="565" t="str">
        <f>+'PERSONAL Y OTROS'!A24</f>
        <v>Profesional Calidad</v>
      </c>
      <c r="B23" s="920">
        <f>+'PERSONAL Y OTROS'!B24</f>
        <v>0</v>
      </c>
      <c r="C23" s="921" t="str">
        <f>+'PERSONAL Y OTROS'!C24</f>
        <v>P4 06-04</v>
      </c>
      <c r="D23" s="221">
        <f>+'PERSONAL Y OTROS'!D24</f>
        <v>0</v>
      </c>
      <c r="E23" s="603">
        <f>+'PERSONAL Y OTROS'!E24</f>
        <v>0</v>
      </c>
      <c r="F23" s="217">
        <f>+'PERSONAL Y OTROS'!H24</f>
        <v>5368094.6811602255</v>
      </c>
      <c r="G23" s="217">
        <f t="shared" si="0"/>
        <v>2.028487982912724</v>
      </c>
      <c r="H23" s="222">
        <f t="shared" si="1"/>
        <v>0</v>
      </c>
      <c r="I23" s="245"/>
      <c r="J23" s="245"/>
      <c r="K23" s="245"/>
      <c r="L23" s="245"/>
      <c r="M23" s="245"/>
      <c r="Q23" s="213"/>
      <c r="IP23" s="213"/>
    </row>
    <row r="24" spans="1:253" s="201" customFormat="1" ht="15" customHeight="1" hidden="1">
      <c r="A24" s="565" t="str">
        <f>+'PERSONAL Y OTROS'!A25</f>
        <v>Abogado</v>
      </c>
      <c r="B24" s="920">
        <f>+'PERSONAL Y OTROS'!B25</f>
        <v>0</v>
      </c>
      <c r="C24" s="921" t="str">
        <f>+'PERSONAL Y OTROS'!C25</f>
        <v>P3 08-05</v>
      </c>
      <c r="D24" s="221">
        <f>+'PERSONAL Y OTROS'!D25</f>
        <v>0</v>
      </c>
      <c r="E24" s="603">
        <f>+'PERSONAL Y OTROS'!E25</f>
        <v>0</v>
      </c>
      <c r="F24" s="217">
        <f>+'PERSONAL Y OTROS'!H25</f>
        <v>6302510.345415276</v>
      </c>
      <c r="G24" s="217">
        <f t="shared" si="0"/>
        <v>2.028487982912724</v>
      </c>
      <c r="H24" s="222">
        <f>+G24*F24*D24*$D$9*B24</f>
        <v>0</v>
      </c>
      <c r="I24" s="916"/>
      <c r="J24" s="916"/>
      <c r="K24" s="916"/>
      <c r="L24" s="916"/>
      <c r="M24" s="916"/>
      <c r="N24" s="187"/>
      <c r="O24" s="187"/>
      <c r="Q24" s="272"/>
      <c r="IP24" s="272"/>
      <c r="IS24" s="187"/>
    </row>
    <row r="25" spans="1:250" ht="15" customHeight="1" hidden="1">
      <c r="A25" s="559" t="str">
        <f>+'PERSONAL Y OTROS'!A26</f>
        <v>Antropologo</v>
      </c>
      <c r="B25" s="603">
        <f>+'PERSONAL Y OTROS'!B26</f>
        <v>0</v>
      </c>
      <c r="C25" s="604" t="str">
        <f>+'PERSONAL Y OTROS'!C26</f>
        <v>P4 06-04</v>
      </c>
      <c r="D25" s="221">
        <f>+'PERSONAL Y OTROS'!D26</f>
        <v>0</v>
      </c>
      <c r="E25" s="603">
        <f>+'PERSONAL Y OTROS'!E26</f>
        <v>0</v>
      </c>
      <c r="F25" s="217">
        <f>+'PERSONAL Y OTROS'!H26</f>
        <v>5368094.6811602255</v>
      </c>
      <c r="G25" s="217">
        <f t="shared" si="0"/>
        <v>2.028487982912724</v>
      </c>
      <c r="H25" s="222">
        <f t="shared" si="1"/>
        <v>0</v>
      </c>
      <c r="I25" s="245"/>
      <c r="J25" s="245"/>
      <c r="K25" s="245"/>
      <c r="L25" s="245"/>
      <c r="M25" s="245"/>
      <c r="Q25" s="213"/>
      <c r="IP25" s="213"/>
    </row>
    <row r="26" spans="1:250" ht="15" customHeight="1" hidden="1">
      <c r="A26" s="559" t="str">
        <f>+'PERSONAL Y OTROS'!A27</f>
        <v>Profesional Social</v>
      </c>
      <c r="B26" s="603">
        <f>+'PERSONAL Y OTROS'!B27</f>
        <v>0</v>
      </c>
      <c r="C26" s="604" t="str">
        <f>+'PERSONAL Y OTROS'!C27</f>
        <v>P4 06-04</v>
      </c>
      <c r="D26" s="221">
        <f>+'PERSONAL Y OTROS'!D27</f>
        <v>0</v>
      </c>
      <c r="E26" s="603">
        <f>+'PERSONAL Y OTROS'!E27</f>
        <v>0</v>
      </c>
      <c r="F26" s="217">
        <f>+'PERSONAL Y OTROS'!H27</f>
        <v>5368094.6811602255</v>
      </c>
      <c r="G26" s="217">
        <f t="shared" si="0"/>
        <v>2.028487982912724</v>
      </c>
      <c r="H26" s="222">
        <f t="shared" si="1"/>
        <v>0</v>
      </c>
      <c r="I26" s="245"/>
      <c r="J26" s="245"/>
      <c r="K26" s="245"/>
      <c r="L26" s="245"/>
      <c r="M26" s="245"/>
      <c r="Q26" s="213"/>
      <c r="IP26" s="213"/>
    </row>
    <row r="27" spans="1:250" ht="15" customHeight="1" hidden="1">
      <c r="A27" s="559" t="str">
        <f>+'PERSONAL Y OTROS'!A28</f>
        <v>Profesional de Seguridad Industrial</v>
      </c>
      <c r="B27" s="603">
        <f>+'PERSONAL Y OTROS'!B28</f>
        <v>0</v>
      </c>
      <c r="C27" s="604" t="str">
        <f>+'PERSONAL Y OTROS'!C28</f>
        <v>P4 06-04</v>
      </c>
      <c r="D27" s="221">
        <f>+'PERSONAL Y OTROS'!D28</f>
        <v>0</v>
      </c>
      <c r="E27" s="603">
        <f>+'PERSONAL Y OTROS'!E28</f>
        <v>0</v>
      </c>
      <c r="F27" s="217">
        <f>+'PERSONAL Y OTROS'!H28</f>
        <v>5368094.6811602255</v>
      </c>
      <c r="G27" s="217">
        <f t="shared" si="0"/>
        <v>2.028487982912724</v>
      </c>
      <c r="H27" s="222">
        <f t="shared" si="1"/>
        <v>0</v>
      </c>
      <c r="I27" s="245"/>
      <c r="J27" s="245"/>
      <c r="K27" s="245"/>
      <c r="L27" s="245"/>
      <c r="M27" s="245"/>
      <c r="Q27" s="213"/>
      <c r="IP27" s="213"/>
    </row>
    <row r="28" spans="1:250" ht="15" customHeight="1" hidden="1">
      <c r="A28" s="559" t="str">
        <f>+'PERSONAL Y OTROS'!A29</f>
        <v>Profesional de apoyo</v>
      </c>
      <c r="B28" s="603">
        <f>+'PERSONAL Y OTROS'!B29</f>
        <v>0</v>
      </c>
      <c r="C28" s="604" t="str">
        <f>+'PERSONAL Y OTROS'!C29</f>
        <v>P4 06-04</v>
      </c>
      <c r="D28" s="221">
        <f>+'PERSONAL Y OTROS'!D29</f>
        <v>0</v>
      </c>
      <c r="E28" s="603">
        <f>+'PERSONAL Y OTROS'!E29</f>
        <v>0</v>
      </c>
      <c r="F28" s="217">
        <f>+'PERSONAL Y OTROS'!H29</f>
        <v>5368094.6811602255</v>
      </c>
      <c r="G28" s="217">
        <f t="shared" si="0"/>
        <v>2.028487982912724</v>
      </c>
      <c r="H28" s="222">
        <f t="shared" si="1"/>
        <v>0</v>
      </c>
      <c r="I28" s="245"/>
      <c r="J28" s="245"/>
      <c r="K28" s="245"/>
      <c r="L28" s="245"/>
      <c r="M28" s="245"/>
      <c r="Q28" s="213"/>
      <c r="IP28" s="213"/>
    </row>
    <row r="29" spans="1:250" ht="15" customHeight="1" hidden="1">
      <c r="A29" s="559" t="str">
        <f>+'PERSONAL Y OTROS'!A30</f>
        <v>Profesional Costos y Presup.</v>
      </c>
      <c r="B29" s="603">
        <f>+'PERSONAL Y OTROS'!B30</f>
        <v>0</v>
      </c>
      <c r="C29" s="604" t="str">
        <f>+'PERSONAL Y OTROS'!C30</f>
        <v>P6 03-01</v>
      </c>
      <c r="D29" s="221">
        <f>+'PERSONAL Y OTROS'!D30</f>
        <v>0</v>
      </c>
      <c r="E29" s="603">
        <f>+'PERSONAL Y OTROS'!E30</f>
        <v>0</v>
      </c>
      <c r="F29" s="217">
        <f>+'PERSONAL Y OTROS'!H30</f>
        <v>4318589.697554118</v>
      </c>
      <c r="G29" s="217">
        <f t="shared" si="0"/>
        <v>2.028487982912724</v>
      </c>
      <c r="H29" s="222">
        <f t="shared" si="1"/>
        <v>0</v>
      </c>
      <c r="I29" s="245"/>
      <c r="J29" s="245"/>
      <c r="K29" s="245"/>
      <c r="L29" s="245"/>
      <c r="M29" s="245"/>
      <c r="Q29" s="213"/>
      <c r="IP29" s="213"/>
    </row>
    <row r="30" spans="1:250" ht="15" customHeight="1" hidden="1">
      <c r="A30" s="559" t="str">
        <f>+'PERSONAL Y OTROS'!A31</f>
        <v>Ing. Anexos Técnicos</v>
      </c>
      <c r="B30" s="603">
        <f>+'PERSONAL Y OTROS'!B31</f>
        <v>0</v>
      </c>
      <c r="C30" s="604" t="str">
        <f>+'PERSONAL Y OTROS'!C31</f>
        <v>P6 03-01</v>
      </c>
      <c r="D30" s="221">
        <f>+'PERSONAL Y OTROS'!D31</f>
        <v>0</v>
      </c>
      <c r="E30" s="603">
        <f>+'PERSONAL Y OTROS'!E31</f>
        <v>0</v>
      </c>
      <c r="F30" s="217">
        <f>+'PERSONAL Y OTROS'!H31</f>
        <v>4318589.697554118</v>
      </c>
      <c r="G30" s="217">
        <f t="shared" si="0"/>
        <v>2.028487982912724</v>
      </c>
      <c r="H30" s="222">
        <f t="shared" si="1"/>
        <v>0</v>
      </c>
      <c r="I30" s="245"/>
      <c r="J30" s="245"/>
      <c r="K30" s="245"/>
      <c r="L30" s="245"/>
      <c r="M30" s="245"/>
      <c r="Q30" s="213"/>
      <c r="IP30" s="213"/>
    </row>
    <row r="31" spans="1:250" ht="15" customHeight="1" hidden="1">
      <c r="A31" s="559" t="str">
        <f>+'PERSONAL Y OTROS'!A31</f>
        <v>Ing. Anexos Técnicos</v>
      </c>
      <c r="B31" s="603">
        <f>+'PERSONAL Y OTROS'!B31</f>
        <v>0</v>
      </c>
      <c r="C31" s="604" t="str">
        <f>+'PERSONAL Y OTROS'!C31</f>
        <v>P6 03-01</v>
      </c>
      <c r="D31" s="221">
        <f>+'PERSONAL Y OTROS'!D31</f>
        <v>0</v>
      </c>
      <c r="E31" s="603">
        <f>+'PERSONAL Y OTROS'!E31</f>
        <v>0</v>
      </c>
      <c r="F31" s="217">
        <f>+'PERSONAL Y OTROS'!H31</f>
        <v>4318589.697554118</v>
      </c>
      <c r="G31" s="217">
        <f t="shared" si="0"/>
        <v>2.028487982912724</v>
      </c>
      <c r="H31" s="222">
        <f>+G31*F31*D31*$D$9*B31</f>
        <v>0</v>
      </c>
      <c r="I31" s="245"/>
      <c r="J31" s="245"/>
      <c r="K31" s="245"/>
      <c r="L31" s="245"/>
      <c r="M31" s="245"/>
      <c r="Q31" s="213"/>
      <c r="IP31" s="213"/>
    </row>
    <row r="32" spans="1:250" ht="15" customHeight="1" hidden="1">
      <c r="A32" s="559" t="str">
        <f>+'PERSONAL Y OTROS'!A32</f>
        <v>Arquitecto restaurador</v>
      </c>
      <c r="B32" s="603">
        <f>+'PERSONAL Y OTROS'!B32</f>
        <v>0</v>
      </c>
      <c r="C32" s="604" t="str">
        <f>+'PERSONAL Y OTROS'!C32</f>
        <v>P8&lt;02</v>
      </c>
      <c r="D32" s="221">
        <f>+'PERSONAL Y OTROS'!D32</f>
        <v>0</v>
      </c>
      <c r="E32" s="603">
        <f>+'PERSONAL Y OTROS'!E32</f>
        <v>0</v>
      </c>
      <c r="F32" s="217">
        <f>+'PERSONAL Y OTROS'!H32</f>
        <v>3080009.4035855527</v>
      </c>
      <c r="G32" s="217">
        <f t="shared" si="0"/>
        <v>2.028487982912724</v>
      </c>
      <c r="H32" s="222">
        <f t="shared" si="1"/>
        <v>0</v>
      </c>
      <c r="I32" s="245"/>
      <c r="J32" s="245"/>
      <c r="K32" s="245"/>
      <c r="L32" s="245"/>
      <c r="M32" s="245"/>
      <c r="Q32" s="213"/>
      <c r="IP32" s="213"/>
    </row>
    <row r="33" spans="1:250" ht="15" customHeight="1" thickBot="1">
      <c r="A33" s="510"/>
      <c r="B33" s="511"/>
      <c r="C33" s="512"/>
      <c r="D33" s="513"/>
      <c r="E33" s="511"/>
      <c r="F33" s="514"/>
      <c r="G33" s="514"/>
      <c r="H33" s="511"/>
      <c r="I33" s="245"/>
      <c r="J33" s="245"/>
      <c r="K33" s="245"/>
      <c r="L33" s="245"/>
      <c r="M33" s="245"/>
      <c r="Q33" s="213"/>
      <c r="IP33" s="213"/>
    </row>
    <row r="34" spans="1:250" ht="15" customHeight="1" thickBot="1">
      <c r="A34" s="384" t="s">
        <v>142</v>
      </c>
      <c r="B34" s="597"/>
      <c r="C34" s="598">
        <f>SUM(B35:B44)</f>
        <v>3</v>
      </c>
      <c r="D34" s="382"/>
      <c r="E34" s="597"/>
      <c r="F34" s="597"/>
      <c r="G34" s="597"/>
      <c r="H34" s="597"/>
      <c r="I34" s="386">
        <f>SUM(H35:H44)</f>
        <v>23220663.71513122</v>
      </c>
      <c r="J34" s="206"/>
      <c r="K34" s="206"/>
      <c r="M34" s="206"/>
      <c r="O34" s="223"/>
      <c r="Q34" s="213"/>
      <c r="IP34" s="213"/>
    </row>
    <row r="35" spans="1:14" ht="15" customHeight="1">
      <c r="A35" s="503" t="str">
        <f>+'PERSONAL Y OTROS'!A35</f>
        <v>Topógrafo</v>
      </c>
      <c r="B35" s="504">
        <f>+'PERSONAL Y OTROS'!B35</f>
        <v>1</v>
      </c>
      <c r="C35" s="505" t="str">
        <f>+'PERSONAL Y OTROS'!C35</f>
        <v>T3</v>
      </c>
      <c r="D35" s="340">
        <f>+'PERSONAL Y OTROS'!D35</f>
        <v>0.15</v>
      </c>
      <c r="E35" s="504">
        <f>+'PERSONAL Y OTROS'!E35</f>
        <v>3.869999999999999</v>
      </c>
      <c r="F35" s="506">
        <f>+'PERSONAL Y OTROS'!H35</f>
        <v>1534524.2580141542</v>
      </c>
      <c r="G35" s="506">
        <f aca="true" t="shared" si="2" ref="G35:G44">FactorMultFinal</f>
        <v>2.028487982912724</v>
      </c>
      <c r="H35" s="254">
        <f>+G35*F35*D35*$D$9*B35</f>
        <v>2801487.615182798</v>
      </c>
      <c r="J35" s="515"/>
      <c r="K35" s="515"/>
      <c r="L35" s="191"/>
      <c r="M35" s="515"/>
      <c r="N35" s="337"/>
    </row>
    <row r="36" spans="1:8" ht="15" customHeight="1">
      <c r="A36" s="507" t="str">
        <f>+'PERSONAL Y OTROS'!A36</f>
        <v>Cadenero 1 </v>
      </c>
      <c r="B36" s="508">
        <f>+'PERSONAL Y OTROS'!B36</f>
        <v>1</v>
      </c>
      <c r="C36" s="509" t="str">
        <f>+'PERSONAL Y OTROS'!C36</f>
        <v>T6</v>
      </c>
      <c r="D36" s="221">
        <f>+'PERSONAL Y OTROS'!D36</f>
        <v>0.15</v>
      </c>
      <c r="E36" s="508">
        <f>+'PERSONAL Y OTROS'!E36</f>
        <v>3.869999999999999</v>
      </c>
      <c r="F36" s="217">
        <f>+'PERSONAL Y OTROS'!H36</f>
        <v>1137192.0840640604</v>
      </c>
      <c r="G36" s="217">
        <f t="shared" si="2"/>
        <v>2.028487982912724</v>
      </c>
      <c r="H36" s="222">
        <f aca="true" t="shared" si="3" ref="H36:H44">+G36*F36*D36*$D$9*B36</f>
        <v>2076102.4291086798</v>
      </c>
    </row>
    <row r="37" spans="1:17" ht="15" customHeight="1">
      <c r="A37" s="507" t="str">
        <f>+'PERSONAL Y OTROS'!A37</f>
        <v>Inspector</v>
      </c>
      <c r="B37" s="508">
        <f>+'PERSONAL Y OTROS'!B37</f>
        <v>1</v>
      </c>
      <c r="C37" s="509" t="str">
        <f>+'PERSONAL Y OTROS'!C37</f>
        <v>T4</v>
      </c>
      <c r="D37" s="221">
        <f>+'PERSONAL Y OTROS'!D37</f>
        <v>1</v>
      </c>
      <c r="E37" s="508">
        <f>+'PERSONAL Y OTROS'!E37</f>
        <v>25.799999999999997</v>
      </c>
      <c r="F37" s="217">
        <f>+'PERSONAL Y OTROS'!H37</f>
        <v>1507122.0391210436</v>
      </c>
      <c r="G37" s="217">
        <f t="shared" si="2"/>
        <v>2.028487982912724</v>
      </c>
      <c r="H37" s="222">
        <f t="shared" si="3"/>
        <v>18343073.67083974</v>
      </c>
      <c r="Q37" s="213"/>
    </row>
    <row r="38" spans="1:17" ht="15" customHeight="1" hidden="1">
      <c r="A38" s="507" t="str">
        <f>+'PERSONAL Y OTROS'!A38</f>
        <v>Laboratorista</v>
      </c>
      <c r="B38" s="508">
        <f>+'PERSONAL Y OTROS'!B38</f>
        <v>0</v>
      </c>
      <c r="C38" s="509" t="str">
        <f>+'PERSONAL Y OTROS'!C38</f>
        <v>T6</v>
      </c>
      <c r="D38" s="221">
        <f>+'PERSONAL Y OTROS'!D38</f>
        <v>0</v>
      </c>
      <c r="E38" s="508">
        <f>+'PERSONAL Y OTROS'!E38</f>
        <v>0</v>
      </c>
      <c r="F38" s="217">
        <f>+'PERSONAL Y OTROS'!H38</f>
        <v>1137192.0840640604</v>
      </c>
      <c r="G38" s="217">
        <f t="shared" si="2"/>
        <v>2.028487982912724</v>
      </c>
      <c r="H38" s="222">
        <f t="shared" si="3"/>
        <v>0</v>
      </c>
      <c r="Q38" s="213"/>
    </row>
    <row r="39" spans="1:17" ht="15" customHeight="1" hidden="1">
      <c r="A39" s="559" t="str">
        <f>+'PERSONAL Y OTROS'!A39</f>
        <v>Tecnico de apoyo</v>
      </c>
      <c r="B39" s="603">
        <f>+'PERSONAL Y OTROS'!B39</f>
        <v>0</v>
      </c>
      <c r="C39" s="604" t="str">
        <f>+'PERSONAL Y OTROS'!C39</f>
        <v>T7</v>
      </c>
      <c r="D39" s="221">
        <f>+'PERSONAL Y OTROS'!D39</f>
        <v>0</v>
      </c>
      <c r="E39" s="603">
        <f>+'PERSONAL Y OTROS'!E39</f>
        <v>0</v>
      </c>
      <c r="F39" s="217">
        <f>+'PERSONAL Y OTROS'!H39</f>
        <v>945376.551812291</v>
      </c>
      <c r="G39" s="217">
        <f t="shared" si="2"/>
        <v>2.028487982912724</v>
      </c>
      <c r="H39" s="222">
        <f t="shared" si="3"/>
        <v>0</v>
      </c>
      <c r="Q39" s="213"/>
    </row>
    <row r="40" spans="1:17" ht="15" customHeight="1" hidden="1">
      <c r="A40" s="559" t="str">
        <f>+'PERSONAL Y OTROS'!A40</f>
        <v>Mensajero</v>
      </c>
      <c r="B40" s="603">
        <f>+'PERSONAL Y OTROS'!B40</f>
        <v>0</v>
      </c>
      <c r="C40" s="604" t="str">
        <f>+'PERSONAL Y OTROS'!C40</f>
        <v>T7</v>
      </c>
      <c r="D40" s="221">
        <f>+'PERSONAL Y OTROS'!D40</f>
        <v>0</v>
      </c>
      <c r="E40" s="603">
        <f>+'PERSONAL Y OTROS'!E40</f>
        <v>0</v>
      </c>
      <c r="F40" s="217">
        <f>+'PERSONAL Y OTROS'!H40</f>
        <v>945376.551812291</v>
      </c>
      <c r="G40" s="217">
        <f t="shared" si="2"/>
        <v>2.028487982912724</v>
      </c>
      <c r="H40" s="222">
        <f t="shared" si="3"/>
        <v>0</v>
      </c>
      <c r="Q40" s="213"/>
    </row>
    <row r="41" spans="1:17" ht="15" customHeight="1" hidden="1">
      <c r="A41" s="559" t="str">
        <f>+'PERSONAL Y OTROS'!A41</f>
        <v>Celador</v>
      </c>
      <c r="B41" s="603">
        <f>+'PERSONAL Y OTROS'!B41</f>
        <v>0</v>
      </c>
      <c r="C41" s="604" t="str">
        <f>+'PERSONAL Y OTROS'!C41</f>
        <v>T7</v>
      </c>
      <c r="D41" s="221">
        <f>+'PERSONAL Y OTROS'!D41</f>
        <v>0</v>
      </c>
      <c r="E41" s="603">
        <f>+'PERSONAL Y OTROS'!E41</f>
        <v>0</v>
      </c>
      <c r="F41" s="217">
        <f>+'PERSONAL Y OTROS'!H41</f>
        <v>945376.551812291</v>
      </c>
      <c r="G41" s="217">
        <f t="shared" si="2"/>
        <v>2.028487982912724</v>
      </c>
      <c r="H41" s="222">
        <f t="shared" si="3"/>
        <v>0</v>
      </c>
      <c r="Q41" s="213"/>
    </row>
    <row r="42" spans="1:17" ht="15" customHeight="1" hidden="1">
      <c r="A42" s="559" t="str">
        <f>+'PERSONAL Y OTROS'!A42</f>
        <v>Celador</v>
      </c>
      <c r="B42" s="603">
        <f>+'PERSONAL Y OTROS'!B42</f>
        <v>0</v>
      </c>
      <c r="C42" s="604" t="str">
        <f>+'PERSONAL Y OTROS'!C42</f>
        <v>T7</v>
      </c>
      <c r="D42" s="221">
        <f>+'PERSONAL Y OTROS'!D42</f>
        <v>0</v>
      </c>
      <c r="E42" s="603">
        <f>+'PERSONAL Y OTROS'!E42</f>
        <v>0</v>
      </c>
      <c r="F42" s="217">
        <f>+'PERSONAL Y OTROS'!H42</f>
        <v>945376.551812291</v>
      </c>
      <c r="G42" s="217">
        <f t="shared" si="2"/>
        <v>2.028487982912724</v>
      </c>
      <c r="H42" s="222">
        <f t="shared" si="3"/>
        <v>0</v>
      </c>
      <c r="Q42" s="213"/>
    </row>
    <row r="43" spans="1:17" ht="15" customHeight="1" hidden="1">
      <c r="A43" s="559" t="str">
        <f>+'PERSONAL Y OTROS'!A43</f>
        <v>Dibujante</v>
      </c>
      <c r="B43" s="603">
        <f>+'PERSONAL Y OTROS'!B43</f>
        <v>0</v>
      </c>
      <c r="C43" s="604" t="str">
        <f>+'PERSONAL Y OTROS'!C43</f>
        <v>T7</v>
      </c>
      <c r="D43" s="221">
        <f>+'PERSONAL Y OTROS'!D43</f>
        <v>0</v>
      </c>
      <c r="E43" s="603">
        <f>+'PERSONAL Y OTROS'!E43</f>
        <v>0</v>
      </c>
      <c r="F43" s="217">
        <f>+'PERSONAL Y OTROS'!H43</f>
        <v>945376.551812291</v>
      </c>
      <c r="G43" s="217">
        <f t="shared" si="2"/>
        <v>2.028487982912724</v>
      </c>
      <c r="H43" s="222">
        <f t="shared" si="3"/>
        <v>0</v>
      </c>
      <c r="Q43" s="213"/>
    </row>
    <row r="44" spans="1:14" ht="15" customHeight="1" hidden="1">
      <c r="A44" s="559" t="str">
        <f>+'PERSONAL Y OTROS'!A44</f>
        <v>Cadenero 1 </v>
      </c>
      <c r="B44" s="603">
        <f>+'PERSONAL Y OTROS'!B44</f>
        <v>0</v>
      </c>
      <c r="C44" s="604" t="str">
        <f>+'PERSONAL Y OTROS'!C44</f>
        <v>T7</v>
      </c>
      <c r="D44" s="221">
        <f>+'PERSONAL Y OTROS'!D44</f>
        <v>0</v>
      </c>
      <c r="E44" s="603">
        <f>+'PERSONAL Y OTROS'!E44</f>
        <v>0</v>
      </c>
      <c r="F44" s="217">
        <f>+'PERSONAL Y OTROS'!H44</f>
        <v>945376.551812291</v>
      </c>
      <c r="G44" s="217">
        <f t="shared" si="2"/>
        <v>2.028487982912724</v>
      </c>
      <c r="H44" s="222">
        <f t="shared" si="3"/>
        <v>0</v>
      </c>
      <c r="J44" s="191"/>
      <c r="K44" s="191"/>
      <c r="L44" s="191"/>
      <c r="M44" s="191"/>
      <c r="N44" s="337"/>
    </row>
    <row r="45" spans="1:250" ht="15" customHeight="1" thickBot="1">
      <c r="A45" s="510"/>
      <c r="B45" s="511"/>
      <c r="C45" s="512"/>
      <c r="D45" s="513"/>
      <c r="E45" s="511"/>
      <c r="F45" s="514"/>
      <c r="G45" s="514"/>
      <c r="H45" s="511"/>
      <c r="I45" s="245"/>
      <c r="J45" s="245"/>
      <c r="K45" s="245"/>
      <c r="L45" s="245"/>
      <c r="M45" s="245"/>
      <c r="Q45" s="213"/>
      <c r="IP45" s="213"/>
    </row>
    <row r="46" spans="1:14" ht="15" customHeight="1" thickBot="1">
      <c r="A46" s="384" t="s">
        <v>81</v>
      </c>
      <c r="B46" s="597"/>
      <c r="C46" s="605"/>
      <c r="D46" s="385"/>
      <c r="E46" s="598" t="s">
        <v>172</v>
      </c>
      <c r="F46" s="598" t="s">
        <v>173</v>
      </c>
      <c r="G46" s="597"/>
      <c r="H46" s="597"/>
      <c r="I46" s="386">
        <f>SUM(H47:H53)</f>
        <v>11766040.508449975</v>
      </c>
      <c r="J46" s="201"/>
      <c r="K46" s="201"/>
      <c r="L46" s="201"/>
      <c r="M46" s="201"/>
      <c r="N46" s="187"/>
    </row>
    <row r="47" spans="1:14" ht="15" customHeight="1">
      <c r="A47" s="516" t="str">
        <f>+'PERSONAL Y OTROS'!C78</f>
        <v>&lt;2000cc Gasolina+Conductor</v>
      </c>
      <c r="B47" s="504">
        <f>+'PERSONAL Y OTROS'!B78</f>
        <v>1</v>
      </c>
      <c r="C47" s="182"/>
      <c r="D47" s="182"/>
      <c r="E47" s="504">
        <f>+'PERSONAL Y OTROS'!E78</f>
        <v>7.739999999999998</v>
      </c>
      <c r="F47" s="256">
        <f>+'PERSONAL Y OTROS'!J78</f>
        <v>1145734.7280678835</v>
      </c>
      <c r="G47" s="506">
        <v>1</v>
      </c>
      <c r="H47" s="517">
        <f>+G47*F47*E47*B47</f>
        <v>8867986.795245416</v>
      </c>
      <c r="I47" s="182"/>
      <c r="J47" s="201"/>
      <c r="K47" s="201"/>
      <c r="L47" s="201"/>
      <c r="M47" s="201"/>
      <c r="N47" s="187"/>
    </row>
    <row r="48" spans="1:14" ht="15" customHeight="1" hidden="1">
      <c r="A48" s="516" t="str">
        <f>+'PERSONAL Y OTROS'!C79</f>
        <v>&gt;2000cc Gasolina+Conductor</v>
      </c>
      <c r="B48" s="504">
        <f>+'PERSONAL Y OTROS'!B79</f>
        <v>0</v>
      </c>
      <c r="C48" s="182"/>
      <c r="D48" s="182"/>
      <c r="E48" s="508">
        <f>+'PERSONAL Y OTROS'!E79</f>
        <v>0</v>
      </c>
      <c r="F48" s="256">
        <f>+'PERSONAL Y OTROS'!J79</f>
        <v>1336690.7280496047</v>
      </c>
      <c r="G48" s="217">
        <v>1</v>
      </c>
      <c r="H48" s="216">
        <f aca="true" t="shared" si="4" ref="H48:H53">+G48*F48*E48*B48</f>
        <v>0</v>
      </c>
      <c r="I48" s="182"/>
      <c r="J48" s="201"/>
      <c r="K48" s="201"/>
      <c r="L48" s="201"/>
      <c r="M48" s="201"/>
      <c r="N48" s="187"/>
    </row>
    <row r="49" spans="1:15" ht="15" customHeight="1">
      <c r="A49" s="516" t="str">
        <f>+'PERSONAL Y OTROS'!C80</f>
        <v>Estación</v>
      </c>
      <c r="B49" s="504">
        <f>+'PERSONAL Y OTROS'!B80</f>
        <v>1</v>
      </c>
      <c r="C49" s="182"/>
      <c r="D49" s="182"/>
      <c r="E49" s="508">
        <f>+'PERSONAL Y OTROS'!E80</f>
        <v>3.869999999999999</v>
      </c>
      <c r="F49" s="256">
        <f>+'PERSONAL Y OTROS'!J80</f>
        <v>748851.0886833488</v>
      </c>
      <c r="G49" s="217">
        <v>1</v>
      </c>
      <c r="H49" s="216">
        <f t="shared" si="4"/>
        <v>2898053.7132045594</v>
      </c>
      <c r="I49" s="182"/>
      <c r="J49" s="201"/>
      <c r="K49" s="201"/>
      <c r="L49" s="201"/>
      <c r="M49" s="201"/>
      <c r="N49" s="187"/>
      <c r="O49" s="183"/>
    </row>
    <row r="50" spans="1:9" ht="15" customHeight="1" hidden="1">
      <c r="A50" s="516" t="str">
        <f>+'PERSONAL Y OTROS'!C81</f>
        <v>Equipos Especiales</v>
      </c>
      <c r="B50" s="504">
        <f>+'PERSONAL Y OTROS'!B81</f>
        <v>0</v>
      </c>
      <c r="C50" s="182"/>
      <c r="D50" s="182"/>
      <c r="E50" s="508">
        <f>+'PERSONAL Y OTROS'!E81</f>
        <v>0</v>
      </c>
      <c r="F50" s="256">
        <f>+'PERSONAL Y OTROS'!J81</f>
        <v>0</v>
      </c>
      <c r="G50" s="217">
        <v>1</v>
      </c>
      <c r="H50" s="216">
        <f t="shared" si="4"/>
        <v>0</v>
      </c>
      <c r="I50" s="182"/>
    </row>
    <row r="51" spans="1:14" ht="15" customHeight="1" hidden="1">
      <c r="A51" s="516" t="str">
        <f>+'PERSONAL Y OTROS'!C82</f>
        <v>Tránsito, nivel</v>
      </c>
      <c r="B51" s="504">
        <f>+'PERSONAL Y OTROS'!B82</f>
        <v>0</v>
      </c>
      <c r="C51" s="182"/>
      <c r="D51" s="182"/>
      <c r="E51" s="508">
        <f>+'PERSONAL Y OTROS'!E82</f>
        <v>0</v>
      </c>
      <c r="F51" s="256">
        <f>+'PERSONAL Y OTROS'!J82</f>
        <v>533359.5988822326</v>
      </c>
      <c r="G51" s="217">
        <v>1</v>
      </c>
      <c r="H51" s="216">
        <f t="shared" si="4"/>
        <v>0</v>
      </c>
      <c r="I51" s="182"/>
      <c r="J51" s="191"/>
      <c r="K51" s="191"/>
      <c r="L51" s="191"/>
      <c r="M51" s="191"/>
      <c r="N51" s="337"/>
    </row>
    <row r="52" spans="1:9" ht="15" customHeight="1" hidden="1">
      <c r="A52" s="516" t="str">
        <f>+'PERSONAL Y OTROS'!C83</f>
        <v>Mas de 3 Ton Gasolina+Conductor+Manto.</v>
      </c>
      <c r="B52" s="504">
        <f>+'PERSONAL Y OTROS'!B83</f>
        <v>0</v>
      </c>
      <c r="C52" s="182"/>
      <c r="D52" s="182"/>
      <c r="E52" s="508">
        <f>+'PERSONAL Y OTROS'!E83</f>
        <v>0</v>
      </c>
      <c r="F52" s="256">
        <f>+'PERSONAL Y OTROS'!J83</f>
        <v>2217501.7891040924</v>
      </c>
      <c r="G52" s="217">
        <v>1</v>
      </c>
      <c r="H52" s="216">
        <f t="shared" si="4"/>
        <v>0</v>
      </c>
      <c r="I52" s="182"/>
    </row>
    <row r="53" spans="1:9" ht="15" customHeight="1" hidden="1">
      <c r="A53" s="516" t="str">
        <f>+'PERSONAL Y OTROS'!C84</f>
        <v>Tránsito, nivel</v>
      </c>
      <c r="B53" s="504">
        <f>+'PERSONAL Y OTROS'!B84</f>
        <v>0</v>
      </c>
      <c r="C53" s="182"/>
      <c r="D53" s="182"/>
      <c r="E53" s="508">
        <f>+'PERSONAL Y OTROS'!E84</f>
        <v>0</v>
      </c>
      <c r="F53" s="256">
        <f>+'PERSONAL Y OTROS'!J84</f>
        <v>533359.5988822326</v>
      </c>
      <c r="G53" s="217">
        <v>1</v>
      </c>
      <c r="H53" s="216">
        <f t="shared" si="4"/>
        <v>0</v>
      </c>
      <c r="I53" s="182"/>
    </row>
    <row r="54" spans="2:8" ht="15" customHeight="1" thickBot="1">
      <c r="B54" s="227"/>
      <c r="C54" s="228"/>
      <c r="D54" s="229"/>
      <c r="E54" s="227"/>
      <c r="F54" s="230"/>
      <c r="G54" s="230"/>
      <c r="H54" s="230"/>
    </row>
    <row r="55" spans="1:9" ht="15" customHeight="1" thickBot="1">
      <c r="A55" s="384" t="s">
        <v>278</v>
      </c>
      <c r="B55" s="597"/>
      <c r="C55" s="605"/>
      <c r="D55" s="385"/>
      <c r="E55" s="598" t="s">
        <v>134</v>
      </c>
      <c r="F55" s="598" t="s">
        <v>174</v>
      </c>
      <c r="G55" s="597"/>
      <c r="H55" s="597"/>
      <c r="I55" s="386">
        <f>SUM(H56:H58)</f>
        <v>0</v>
      </c>
    </row>
    <row r="56" spans="1:9" ht="15" customHeight="1">
      <c r="A56" s="608" t="str">
        <f>'PERSONAL Y OTROS'!C88</f>
        <v>Equipos Especiales</v>
      </c>
      <c r="B56" s="601">
        <f>'PERSONAL Y OTROS'!B88</f>
        <v>0</v>
      </c>
      <c r="C56" s="182"/>
      <c r="D56" s="182"/>
      <c r="E56" s="601">
        <v>0</v>
      </c>
      <c r="F56" s="518">
        <f>'PERSONAL Y OTROS'!O88</f>
        <v>0</v>
      </c>
      <c r="G56" s="256">
        <v>1</v>
      </c>
      <c r="H56" s="517">
        <f>+G56*F56*B56</f>
        <v>0</v>
      </c>
      <c r="I56" s="187"/>
    </row>
    <row r="57" spans="1:9" ht="15" customHeight="1">
      <c r="A57" s="607" t="str">
        <f>'PERSONAL Y OTROS'!C89</f>
        <v>Tramite de Licencia</v>
      </c>
      <c r="B57" s="603">
        <f>'PERSONAL Y OTROS'!B89</f>
        <v>0</v>
      </c>
      <c r="C57" s="182"/>
      <c r="D57" s="182"/>
      <c r="E57" s="603">
        <v>0</v>
      </c>
      <c r="F57" s="520">
        <f>'PERSONAL Y OTROS'!O89</f>
        <v>0</v>
      </c>
      <c r="G57" s="218">
        <v>1</v>
      </c>
      <c r="H57" s="216">
        <f>+G57*F57*B57</f>
        <v>0</v>
      </c>
      <c r="I57" s="187"/>
    </row>
    <row r="58" spans="1:9" ht="15" customHeight="1">
      <c r="A58" s="607" t="str">
        <f>'PERSONAL Y OTROS'!C90</f>
        <v>Costo de las Licencias</v>
      </c>
      <c r="B58" s="603">
        <f>'PERSONAL Y OTROS'!B90</f>
        <v>0</v>
      </c>
      <c r="C58" s="182"/>
      <c r="D58" s="182"/>
      <c r="E58" s="603">
        <v>0</v>
      </c>
      <c r="F58" s="520">
        <f>'PERSONAL Y OTROS'!O90</f>
        <v>0</v>
      </c>
      <c r="G58" s="218">
        <v>1</v>
      </c>
      <c r="H58" s="216">
        <f>+G58*F58*B58</f>
        <v>0</v>
      </c>
      <c r="I58" s="187"/>
    </row>
    <row r="59" spans="2:8" ht="16.5" customHeight="1" thickBot="1">
      <c r="B59" s="227"/>
      <c r="D59" s="245"/>
      <c r="E59" s="227"/>
      <c r="F59" s="230"/>
      <c r="G59" s="230"/>
      <c r="H59" s="230"/>
    </row>
    <row r="60" spans="1:9" ht="15" customHeight="1" thickBot="1">
      <c r="A60" s="384" t="s">
        <v>128</v>
      </c>
      <c r="B60" s="597"/>
      <c r="C60" s="605"/>
      <c r="D60" s="385"/>
      <c r="E60" s="598" t="s">
        <v>134</v>
      </c>
      <c r="F60" s="598" t="s">
        <v>174</v>
      </c>
      <c r="G60" s="597"/>
      <c r="H60" s="597"/>
      <c r="I60" s="386">
        <f>SUM(H61:H65)</f>
        <v>8462025</v>
      </c>
    </row>
    <row r="61" spans="1:9" ht="15" customHeight="1">
      <c r="A61" s="516" t="str">
        <f>+'PERSONAL Y OTROS'!C94</f>
        <v>Aereo</v>
      </c>
      <c r="B61" s="504">
        <f>+'PERSONAL Y OTROS'!B94</f>
        <v>9</v>
      </c>
      <c r="C61" s="186" t="str">
        <f>+'PERSONAL Y OTROS'!D94</f>
        <v>Bogotá- Ibague- Bogota </v>
      </c>
      <c r="D61" s="182"/>
      <c r="E61" s="504">
        <f>+'PERSONAL Y OTROS'!E94</f>
        <v>0</v>
      </c>
      <c r="F61" s="518">
        <f>+'PERSONAL Y OTROS'!J94</f>
        <v>640225</v>
      </c>
      <c r="G61" s="256">
        <v>1</v>
      </c>
      <c r="H61" s="517">
        <f>+G61*F61*B61</f>
        <v>5762025</v>
      </c>
      <c r="I61" s="187"/>
    </row>
    <row r="62" spans="1:9" ht="15" customHeight="1">
      <c r="A62" s="519" t="str">
        <f>+'PERSONAL Y OTROS'!C95</f>
        <v>Hotel</v>
      </c>
      <c r="B62" s="508">
        <f>+'PERSONAL Y OTROS'!B95</f>
        <v>9</v>
      </c>
      <c r="C62" s="183">
        <f>+'PERSONAL Y OTROS'!D95</f>
        <v>0</v>
      </c>
      <c r="D62" s="182"/>
      <c r="E62" s="508">
        <f>+'PERSONAL Y OTROS'!E95</f>
        <v>0</v>
      </c>
      <c r="F62" s="520">
        <f>+'PERSONAL Y OTROS'!J95</f>
        <v>200000</v>
      </c>
      <c r="G62" s="218">
        <v>1</v>
      </c>
      <c r="H62" s="216">
        <f>+G62*F62*B62</f>
        <v>1800000</v>
      </c>
      <c r="I62" s="187"/>
    </row>
    <row r="63" spans="1:9" ht="15" customHeight="1">
      <c r="A63" s="607" t="str">
        <f>+'PERSONAL Y OTROS'!C96</f>
        <v>Terrestre</v>
      </c>
      <c r="B63" s="603">
        <f>+'PERSONAL Y OTROS'!B96</f>
        <v>9</v>
      </c>
      <c r="C63" s="186" t="str">
        <f>+'PERSONAL Y OTROS'!D96</f>
        <v>Ibague-Roncesvalles-Ibagué</v>
      </c>
      <c r="D63" s="182"/>
      <c r="E63" s="603">
        <f>+'PERSONAL Y OTROS'!E96</f>
        <v>0</v>
      </c>
      <c r="F63" s="520">
        <f>+'PERSONAL Y OTROS'!J96</f>
        <v>100000</v>
      </c>
      <c r="G63" s="218">
        <v>1</v>
      </c>
      <c r="H63" s="216">
        <f>+G63*F63*B63</f>
        <v>900000</v>
      </c>
      <c r="I63" s="187"/>
    </row>
    <row r="64" spans="1:9" ht="15" customHeight="1" hidden="1">
      <c r="A64" s="607" t="str">
        <f>+'PERSONAL Y OTROS'!C97</f>
        <v>Otro</v>
      </c>
      <c r="B64" s="603">
        <f>+'PERSONAL Y OTROS'!B97</f>
        <v>0</v>
      </c>
      <c r="C64" s="182"/>
      <c r="D64" s="182"/>
      <c r="E64" s="603">
        <f>+'PERSONAL Y OTROS'!E97</f>
        <v>0</v>
      </c>
      <c r="F64" s="520">
        <f>+'PERSONAL Y OTROS'!J97</f>
        <v>0</v>
      </c>
      <c r="G64" s="218">
        <v>1</v>
      </c>
      <c r="H64" s="216">
        <f>+G64*F64*B64</f>
        <v>0</v>
      </c>
      <c r="I64" s="187"/>
    </row>
    <row r="65" spans="1:9" ht="15" customHeight="1" hidden="1">
      <c r="A65" s="607" t="str">
        <f>+'PERSONAL Y OTROS'!C98</f>
        <v>Hotel</v>
      </c>
      <c r="B65" s="603">
        <f>+'PERSONAL Y OTROS'!B98</f>
        <v>0</v>
      </c>
      <c r="C65" s="182"/>
      <c r="D65" s="182"/>
      <c r="E65" s="603">
        <f>+'PERSONAL Y OTROS'!E98</f>
        <v>0</v>
      </c>
      <c r="F65" s="520">
        <f>+'PERSONAL Y OTROS'!J98</f>
        <v>0</v>
      </c>
      <c r="G65" s="218">
        <v>1</v>
      </c>
      <c r="H65" s="216">
        <f>+G65*F65*B65</f>
        <v>0</v>
      </c>
      <c r="I65" s="187"/>
    </row>
    <row r="66" spans="2:8" ht="17.25" customHeight="1" thickBot="1">
      <c r="B66" s="227"/>
      <c r="D66" s="245"/>
      <c r="E66" s="227"/>
      <c r="F66" s="230"/>
      <c r="G66" s="230"/>
      <c r="H66" s="230"/>
    </row>
    <row r="67" spans="1:9" ht="15.75" thickBot="1">
      <c r="A67" s="384" t="s">
        <v>680</v>
      </c>
      <c r="B67" s="597"/>
      <c r="C67" s="605"/>
      <c r="D67" s="385"/>
      <c r="E67" s="597"/>
      <c r="F67" s="597"/>
      <c r="G67" s="597"/>
      <c r="H67" s="597"/>
      <c r="I67" s="386">
        <f>SUM(H68:H87)</f>
        <v>5233034.489094899</v>
      </c>
    </row>
    <row r="68" spans="1:15" ht="29.25" customHeight="1">
      <c r="A68" s="521" t="str">
        <f>+'PERSONAL Y OTROS'!C102</f>
        <v>Diseño de una mezcla de hormigón para una resistencia dada</v>
      </c>
      <c r="B68" s="504">
        <f>+'PERSONAL Y OTROS'!B102</f>
        <v>3</v>
      </c>
      <c r="C68" s="182"/>
      <c r="D68" s="182"/>
      <c r="E68" s="182"/>
      <c r="F68" s="256">
        <f>+'PERSONAL Y OTROS'!J102</f>
        <v>513795.0016404</v>
      </c>
      <c r="G68" s="256">
        <v>1</v>
      </c>
      <c r="H68" s="254">
        <f>+G68*F68*B68</f>
        <v>1541385.0049212</v>
      </c>
      <c r="O68" s="223"/>
    </row>
    <row r="69" spans="1:8" ht="25.5">
      <c r="A69" s="522" t="str">
        <f>+'PERSONAL Y OTROS'!C103</f>
        <v>Ensayo de compactación Proctor (Estandard y Modificado)</v>
      </c>
      <c r="B69" s="508">
        <f>+'PERSONAL Y OTROS'!B103</f>
        <v>5</v>
      </c>
      <c r="C69" s="182"/>
      <c r="D69" s="182"/>
      <c r="E69" s="182"/>
      <c r="F69" s="218">
        <f>+'PERSONAL Y OTROS'!J103</f>
        <v>73857.73069979998</v>
      </c>
      <c r="G69" s="218">
        <v>1</v>
      </c>
      <c r="H69" s="222">
        <f aca="true" t="shared" si="5" ref="H69:H87">+G69*F69*B69</f>
        <v>369288.6534989999</v>
      </c>
    </row>
    <row r="70" spans="1:8" ht="14.25" customHeight="1">
      <c r="A70" s="522" t="str">
        <f>+'PERSONAL Y OTROS'!C104</f>
        <v>CBR sobre material granular ( Método 1 )                                </v>
      </c>
      <c r="B70" s="508">
        <f>+'PERSONAL Y OTROS'!B104</f>
        <v>5</v>
      </c>
      <c r="C70" s="182"/>
      <c r="D70" s="182"/>
      <c r="E70" s="182"/>
      <c r="F70" s="218">
        <f>+'PERSONAL Y OTROS'!J104</f>
        <v>208729.0826955</v>
      </c>
      <c r="G70" s="218">
        <v>1</v>
      </c>
      <c r="H70" s="222">
        <f t="shared" si="5"/>
        <v>1043645.4134775</v>
      </c>
    </row>
    <row r="71" spans="1:253" s="524" customFormat="1" ht="12.75">
      <c r="A71" s="522" t="str">
        <f>+'PERSONAL Y OTROS'!C105</f>
        <v>Contenido de asfalto</v>
      </c>
      <c r="B71" s="523">
        <f>+'PERSONAL Y OTROS'!B105</f>
        <v>2</v>
      </c>
      <c r="F71" s="525">
        <f>+'PERSONAL Y OTROS'!J105</f>
        <v>83491.6330782</v>
      </c>
      <c r="G71" s="525">
        <v>1</v>
      </c>
      <c r="H71" s="526">
        <f t="shared" si="5"/>
        <v>166983.2661564</v>
      </c>
      <c r="I71" s="527"/>
      <c r="N71" s="527"/>
      <c r="IS71" s="527"/>
    </row>
    <row r="72" spans="1:253" s="524" customFormat="1" ht="39.75" customHeight="1">
      <c r="A72" s="522" t="str">
        <f>+'PERSONAL Y OTROS'!C106</f>
        <v>Rotura X compresión de cilindros (Por norma una muestra(8 cil.) cada 40,0 m³ o una por día si es menor cantidad)</v>
      </c>
      <c r="B72" s="523">
        <f>+'PERSONAL Y OTROS'!B106</f>
        <v>10</v>
      </c>
      <c r="F72" s="525">
        <f>+'PERSONAL Y OTROS'!J106</f>
        <v>5779.4664132</v>
      </c>
      <c r="G72" s="525">
        <v>1</v>
      </c>
      <c r="H72" s="526">
        <f t="shared" si="5"/>
        <v>57794.664132</v>
      </c>
      <c r="I72" s="527"/>
      <c r="N72" s="527"/>
      <c r="IS72" s="527"/>
    </row>
    <row r="73" spans="1:8" ht="12.75">
      <c r="A73" s="522" t="str">
        <f>+'PERSONAL Y OTROS'!C107</f>
        <v>Análisis F-Q Total A. Tratada</v>
      </c>
      <c r="B73" s="508">
        <f>+'PERSONAL Y OTROS'!B107</f>
        <v>4</v>
      </c>
      <c r="C73" s="182"/>
      <c r="D73" s="182"/>
      <c r="E73" s="182"/>
      <c r="F73" s="218">
        <f>+'PERSONAL Y OTROS'!J107</f>
        <v>216965.1504645</v>
      </c>
      <c r="G73" s="218">
        <v>1</v>
      </c>
      <c r="H73" s="222">
        <f t="shared" si="5"/>
        <v>867860.601858</v>
      </c>
    </row>
    <row r="74" spans="1:8" ht="15">
      <c r="A74" s="607" t="str">
        <f>+'PERSONAL Y OTROS'!C108</f>
        <v>Análisis F-Q Total A. Crudas</v>
      </c>
      <c r="B74" s="603">
        <f>+'PERSONAL Y OTROS'!B108</f>
        <v>4</v>
      </c>
      <c r="C74" s="182"/>
      <c r="D74" s="182"/>
      <c r="E74" s="182"/>
      <c r="F74" s="218">
        <f>+'PERSONAL Y OTROS'!J108</f>
        <v>151876.15220879996</v>
      </c>
      <c r="G74" s="218">
        <v>1</v>
      </c>
      <c r="H74" s="222">
        <f t="shared" si="5"/>
        <v>607504.6088351998</v>
      </c>
    </row>
    <row r="75" spans="1:8" ht="15">
      <c r="A75" s="607" t="str">
        <f>+'PERSONAL Y OTROS'!C109</f>
        <v>Coliformes Totales</v>
      </c>
      <c r="B75" s="603">
        <f>+'PERSONAL Y OTROS'!B109</f>
        <v>4</v>
      </c>
      <c r="C75" s="182"/>
      <c r="D75" s="182"/>
      <c r="E75" s="182"/>
      <c r="F75" s="218">
        <f>+'PERSONAL Y OTROS'!J109</f>
        <v>60750.023376599995</v>
      </c>
      <c r="G75" s="218">
        <v>1</v>
      </c>
      <c r="H75" s="222">
        <f t="shared" si="5"/>
        <v>243000.09350639998</v>
      </c>
    </row>
    <row r="76" spans="1:8" ht="15">
      <c r="A76" s="607" t="str">
        <f>+'PERSONAL Y OTROS'!C110</f>
        <v>Coliformes Fecales</v>
      </c>
      <c r="B76" s="603">
        <f>+'PERSONAL Y OTROS'!B110</f>
        <v>4</v>
      </c>
      <c r="C76" s="182"/>
      <c r="D76" s="182"/>
      <c r="E76" s="182"/>
      <c r="F76" s="218">
        <f>+'PERSONAL Y OTROS'!J110</f>
        <v>67983.1065315</v>
      </c>
      <c r="G76" s="218">
        <v>1</v>
      </c>
      <c r="H76" s="222">
        <f t="shared" si="5"/>
        <v>271932.426126</v>
      </c>
    </row>
    <row r="77" spans="1:8" ht="15">
      <c r="A77" s="607" t="str">
        <f>+'PERSONAL Y OTROS'!C111</f>
        <v>Detección de Cloro Residual</v>
      </c>
      <c r="B77" s="603">
        <f>+'PERSONAL Y OTROS'!B111</f>
        <v>4</v>
      </c>
      <c r="C77" s="182"/>
      <c r="D77" s="182"/>
      <c r="E77" s="182"/>
      <c r="F77" s="218">
        <f>+'PERSONAL Y OTROS'!J111</f>
        <v>15909.939145800001</v>
      </c>
      <c r="G77" s="218">
        <v>1</v>
      </c>
      <c r="H77" s="222">
        <f t="shared" si="5"/>
        <v>63639.756583200004</v>
      </c>
    </row>
    <row r="78" spans="1:8" ht="15" hidden="1">
      <c r="A78" s="607" t="str">
        <f>+'PERSONAL Y OTROS'!C112</f>
        <v>Ensayo de consolidación lenta con descarga</v>
      </c>
      <c r="B78" s="603">
        <f>+'PERSONAL Y OTROS'!B112</f>
        <v>0</v>
      </c>
      <c r="C78" s="182"/>
      <c r="D78" s="182"/>
      <c r="E78" s="182"/>
      <c r="F78" s="218">
        <f>+'PERSONAL Y OTROS'!J112</f>
        <v>337177.83310560003</v>
      </c>
      <c r="G78" s="218">
        <v>1</v>
      </c>
      <c r="H78" s="222">
        <f t="shared" si="5"/>
        <v>0</v>
      </c>
    </row>
    <row r="79" spans="1:8" ht="15" hidden="1">
      <c r="A79" s="607" t="str">
        <f>+'PERSONAL Y OTROS'!C113</f>
        <v>Límites de Atterberg, líquido y plástico</v>
      </c>
      <c r="B79" s="603">
        <f>+'PERSONAL Y OTROS'!B113</f>
        <v>0</v>
      </c>
      <c r="C79" s="182"/>
      <c r="D79" s="182"/>
      <c r="E79" s="182"/>
      <c r="F79" s="218">
        <f>+'PERSONAL Y OTROS'!J113</f>
        <v>38534.5157463</v>
      </c>
      <c r="G79" s="218">
        <v>1</v>
      </c>
      <c r="H79" s="222">
        <f t="shared" si="5"/>
        <v>0</v>
      </c>
    </row>
    <row r="80" spans="1:253" s="191" customFormat="1" ht="15" hidden="1">
      <c r="A80" s="607" t="str">
        <f>+'PERSONAL Y OTROS'!C114</f>
        <v>Coliformes Totales</v>
      </c>
      <c r="B80" s="603">
        <f>+'PERSONAL Y OTROS'!B114</f>
        <v>0</v>
      </c>
      <c r="C80" s="182"/>
      <c r="D80" s="182"/>
      <c r="E80" s="182"/>
      <c r="F80" s="218">
        <f>+'PERSONAL Y OTROS'!J114</f>
        <v>60750.023376599995</v>
      </c>
      <c r="G80" s="218">
        <v>1</v>
      </c>
      <c r="H80" s="222">
        <f t="shared" si="5"/>
        <v>0</v>
      </c>
      <c r="I80" s="183"/>
      <c r="N80" s="337"/>
      <c r="O80" s="528"/>
      <c r="P80" s="528"/>
      <c r="IS80" s="337"/>
    </row>
    <row r="81" spans="1:253" s="191" customFormat="1" ht="15" hidden="1">
      <c r="A81" s="607" t="str">
        <f>+'PERSONAL Y OTROS'!C115</f>
        <v>Contenido de asfalto</v>
      </c>
      <c r="B81" s="603">
        <f>+'PERSONAL Y OTROS'!B115</f>
        <v>0</v>
      </c>
      <c r="C81" s="182"/>
      <c r="D81" s="182"/>
      <c r="E81" s="182"/>
      <c r="F81" s="218">
        <f>+'PERSONAL Y OTROS'!J115</f>
        <v>83491.6330782</v>
      </c>
      <c r="G81" s="218">
        <v>1</v>
      </c>
      <c r="H81" s="222">
        <f t="shared" si="5"/>
        <v>0</v>
      </c>
      <c r="I81" s="183"/>
      <c r="N81" s="337"/>
      <c r="IS81" s="337"/>
    </row>
    <row r="82" spans="1:253" s="191" customFormat="1" ht="15" hidden="1">
      <c r="A82" s="607" t="str">
        <f>+'PERSONAL Y OTROS'!C116</f>
        <v>Contenido de asfalto</v>
      </c>
      <c r="B82" s="603">
        <f>+'PERSONAL Y OTROS'!B116</f>
        <v>0</v>
      </c>
      <c r="C82" s="182"/>
      <c r="D82" s="182"/>
      <c r="E82" s="182"/>
      <c r="F82" s="218">
        <f>+'PERSONAL Y OTROS'!J116</f>
        <v>83491.6330782</v>
      </c>
      <c r="G82" s="218">
        <v>1</v>
      </c>
      <c r="H82" s="222">
        <f t="shared" si="5"/>
        <v>0</v>
      </c>
      <c r="I82" s="183"/>
      <c r="N82" s="337"/>
      <c r="IS82" s="337"/>
    </row>
    <row r="83" spans="1:253" s="191" customFormat="1" ht="15" hidden="1">
      <c r="A83" s="607" t="str">
        <f>+'PERSONAL Y OTROS'!C117</f>
        <v>Análisis F-Q Total A. Tratada</v>
      </c>
      <c r="B83" s="603">
        <f>+'PERSONAL Y OTROS'!B117</f>
        <v>0</v>
      </c>
      <c r="C83" s="182"/>
      <c r="D83" s="182"/>
      <c r="E83" s="182"/>
      <c r="F83" s="218">
        <f>+'PERSONAL Y OTROS'!J117</f>
        <v>216965.1504645</v>
      </c>
      <c r="G83" s="218">
        <v>1</v>
      </c>
      <c r="H83" s="222">
        <f t="shared" si="5"/>
        <v>0</v>
      </c>
      <c r="I83" s="183"/>
      <c r="N83" s="337"/>
      <c r="IS83" s="337"/>
    </row>
    <row r="84" spans="1:253" s="191" customFormat="1" ht="15" hidden="1">
      <c r="A84" s="607" t="str">
        <f>+'PERSONAL Y OTROS'!C118</f>
        <v>Análisis A. Residuales</v>
      </c>
      <c r="B84" s="603">
        <f>+'PERSONAL Y OTROS'!B118</f>
        <v>0</v>
      </c>
      <c r="C84" s="182"/>
      <c r="D84" s="182"/>
      <c r="E84" s="182"/>
      <c r="F84" s="218">
        <f>+'PERSONAL Y OTROS'!J118</f>
        <v>376072.1982936</v>
      </c>
      <c r="G84" s="218">
        <v>1</v>
      </c>
      <c r="H84" s="222">
        <f t="shared" si="5"/>
        <v>0</v>
      </c>
      <c r="I84" s="183"/>
      <c r="N84" s="337"/>
      <c r="IS84" s="337"/>
    </row>
    <row r="85" spans="1:253" s="191" customFormat="1" ht="15" hidden="1">
      <c r="A85" s="607" t="str">
        <f>+'PERSONAL Y OTROS'!C119</f>
        <v>Coliformes Fecales</v>
      </c>
      <c r="B85" s="603">
        <f>+'PERSONAL Y OTROS'!B119</f>
        <v>0</v>
      </c>
      <c r="C85" s="182"/>
      <c r="D85" s="182"/>
      <c r="E85" s="182"/>
      <c r="F85" s="218">
        <f>+'PERSONAL Y OTROS'!J119</f>
        <v>67983.1065315</v>
      </c>
      <c r="G85" s="218">
        <v>1</v>
      </c>
      <c r="H85" s="222">
        <f t="shared" si="5"/>
        <v>0</v>
      </c>
      <c r="I85" s="183"/>
      <c r="N85" s="337"/>
      <c r="IS85" s="337"/>
    </row>
    <row r="86" spans="1:253" s="191" customFormat="1" ht="15" hidden="1">
      <c r="A86" s="607" t="str">
        <f>+'PERSONAL Y OTROS'!C120</f>
        <v>Detección de Cloro Residual</v>
      </c>
      <c r="B86" s="603">
        <f>+'PERSONAL Y OTROS'!B120</f>
        <v>0</v>
      </c>
      <c r="C86" s="182"/>
      <c r="D86" s="182"/>
      <c r="E86" s="182"/>
      <c r="F86" s="218">
        <f>+'PERSONAL Y OTROS'!J120</f>
        <v>15909.939145800001</v>
      </c>
      <c r="G86" s="218">
        <v>1</v>
      </c>
      <c r="H86" s="222">
        <f t="shared" si="5"/>
        <v>0</v>
      </c>
      <c r="I86" s="183"/>
      <c r="N86" s="337"/>
      <c r="IS86" s="337"/>
    </row>
    <row r="87" spans="1:8" ht="15" hidden="1">
      <c r="A87" s="607" t="str">
        <f>+'PERSONAL Y OTROS'!C121</f>
        <v>Contenido de asfalto</v>
      </c>
      <c r="B87" s="603">
        <f>+'PERSONAL Y OTROS'!B121</f>
        <v>0</v>
      </c>
      <c r="C87" s="182"/>
      <c r="D87" s="182"/>
      <c r="E87" s="182"/>
      <c r="F87" s="218">
        <f>+'PERSONAL Y OTROS'!J121</f>
        <v>83491.6330782</v>
      </c>
      <c r="G87" s="218">
        <v>1</v>
      </c>
      <c r="H87" s="222">
        <f t="shared" si="5"/>
        <v>0</v>
      </c>
    </row>
    <row r="88" ht="15.75" customHeight="1" thickBot="1">
      <c r="D88" s="245"/>
    </row>
    <row r="89" spans="1:9" ht="15.75" thickBot="1">
      <c r="A89" s="384" t="s">
        <v>610</v>
      </c>
      <c r="B89" s="597"/>
      <c r="C89" s="605"/>
      <c r="D89" s="385"/>
      <c r="E89" s="597"/>
      <c r="F89" s="597"/>
      <c r="G89" s="597"/>
      <c r="H89" s="597"/>
      <c r="I89" s="386">
        <f>SUM(H90:H100)</f>
        <v>0</v>
      </c>
    </row>
    <row r="90" spans="1:9" ht="15" hidden="1">
      <c r="A90" s="556" t="str">
        <f>+'PERSONAL Y OTROS'!C125</f>
        <v>Aparatos Sanitarios/Gl</v>
      </c>
      <c r="B90" s="601">
        <f>+'PERSONAL Y OTROS'!B125</f>
        <v>0</v>
      </c>
      <c r="C90" s="182"/>
      <c r="F90" s="256">
        <f>+'PERSONAL Y OTROS'!J125</f>
        <v>850000</v>
      </c>
      <c r="G90" s="256">
        <v>1</v>
      </c>
      <c r="H90" s="254">
        <f>+G90*F90*B90</f>
        <v>0</v>
      </c>
      <c r="I90" s="182"/>
    </row>
    <row r="91" spans="1:9" ht="15" hidden="1">
      <c r="A91" s="556" t="str">
        <f>+'PERSONAL Y OTROS'!C126</f>
        <v>Aseo/m2</v>
      </c>
      <c r="B91" s="601">
        <f>+'PERSONAL Y OTROS'!B126</f>
        <v>0</v>
      </c>
      <c r="C91" s="182"/>
      <c r="F91" s="218">
        <f>+'PERSONAL Y OTROS'!J126</f>
        <v>3295.04004</v>
      </c>
      <c r="G91" s="218">
        <v>1</v>
      </c>
      <c r="H91" s="254">
        <f aca="true" t="shared" si="6" ref="H91:H100">+G91*F91*B91</f>
        <v>0</v>
      </c>
      <c r="I91" s="182"/>
    </row>
    <row r="92" spans="1:9" ht="15" hidden="1">
      <c r="A92" s="556" t="str">
        <f>+'PERSONAL Y OTROS'!C127</f>
        <v>Campamento Obra/m2</v>
      </c>
      <c r="B92" s="601">
        <f>+'PERSONAL Y OTROS'!B127</f>
        <v>0</v>
      </c>
      <c r="C92" s="182"/>
      <c r="F92" s="218">
        <f>+'PERSONAL Y OTROS'!J127</f>
        <v>67730.08698</v>
      </c>
      <c r="G92" s="218">
        <v>1</v>
      </c>
      <c r="H92" s="254">
        <f t="shared" si="6"/>
        <v>0</v>
      </c>
      <c r="I92" s="182"/>
    </row>
    <row r="93" spans="1:9" ht="15" hidden="1">
      <c r="A93" s="556" t="str">
        <f>+'PERSONAL Y OTROS'!C128</f>
        <v>Derechos Agua/Gl</v>
      </c>
      <c r="B93" s="601">
        <f>+'PERSONAL Y OTROS'!B128</f>
        <v>0</v>
      </c>
      <c r="C93" s="182"/>
      <c r="F93" s="218">
        <f>+'PERSONAL Y OTROS'!J128</f>
        <v>1102598.81046</v>
      </c>
      <c r="G93" s="218">
        <v>1</v>
      </c>
      <c r="H93" s="254">
        <f t="shared" si="6"/>
        <v>0</v>
      </c>
      <c r="I93" s="182"/>
    </row>
    <row r="94" spans="1:9" ht="15" hidden="1">
      <c r="A94" s="556" t="str">
        <f>+'PERSONAL Y OTROS'!C129</f>
        <v>Derechos Energía/Gl</v>
      </c>
      <c r="B94" s="601">
        <f>+'PERSONAL Y OTROS'!B129</f>
        <v>0</v>
      </c>
      <c r="C94" s="182"/>
      <c r="F94" s="218">
        <f>+'PERSONAL Y OTROS'!J129</f>
        <v>1102598.81046</v>
      </c>
      <c r="G94" s="218">
        <v>1</v>
      </c>
      <c r="H94" s="254">
        <f t="shared" si="6"/>
        <v>0</v>
      </c>
      <c r="I94" s="182"/>
    </row>
    <row r="95" spans="1:9" ht="15" hidden="1">
      <c r="A95" s="556" t="str">
        <f>+'PERSONAL Y OTROS'!C130</f>
        <v>Derechos Gas/Gl</v>
      </c>
      <c r="B95" s="601">
        <f>+'PERSONAL Y OTROS'!B130</f>
        <v>0</v>
      </c>
      <c r="C95" s="182"/>
      <c r="F95" s="218">
        <f>+'PERSONAL Y OTROS'!J130</f>
        <v>702393.05412</v>
      </c>
      <c r="G95" s="218">
        <v>1</v>
      </c>
      <c r="H95" s="254">
        <f t="shared" si="6"/>
        <v>0</v>
      </c>
      <c r="I95" s="182"/>
    </row>
    <row r="96" spans="1:9" ht="15" hidden="1">
      <c r="A96" s="556" t="str">
        <f>+'PERSONAL Y OTROS'!C131</f>
        <v>Cerramiento/m2</v>
      </c>
      <c r="B96" s="601">
        <f>+'PERSONAL Y OTROS'!B131</f>
        <v>0</v>
      </c>
      <c r="C96" s="182"/>
      <c r="F96" s="218">
        <f>+'PERSONAL Y OTROS'!J131</f>
        <v>8543.009520000001</v>
      </c>
      <c r="G96" s="218">
        <v>1</v>
      </c>
      <c r="H96" s="254">
        <f t="shared" si="6"/>
        <v>0</v>
      </c>
      <c r="I96" s="182"/>
    </row>
    <row r="97" spans="1:9" ht="15" hidden="1">
      <c r="A97" s="556" t="str">
        <f>+'PERSONAL Y OTROS'!C132</f>
        <v>Prov. Energía/ml</v>
      </c>
      <c r="B97" s="601">
        <f>+'PERSONAL Y OTROS'!B132</f>
        <v>0</v>
      </c>
      <c r="C97" s="182"/>
      <c r="F97" s="218">
        <f>+'PERSONAL Y OTROS'!J132</f>
        <v>30264.06564</v>
      </c>
      <c r="G97" s="218">
        <v>1</v>
      </c>
      <c r="H97" s="254">
        <f t="shared" si="6"/>
        <v>0</v>
      </c>
      <c r="I97" s="182"/>
    </row>
    <row r="98" spans="1:9" ht="15" hidden="1">
      <c r="A98" s="556" t="str">
        <f>+'PERSONAL Y OTROS'!C133</f>
        <v>Prov. Teléfono/ml</v>
      </c>
      <c r="B98" s="601">
        <f>+'PERSONAL Y OTROS'!B133</f>
        <v>0</v>
      </c>
      <c r="C98" s="182"/>
      <c r="F98" s="218">
        <f>+'PERSONAL Y OTROS'!J133</f>
        <v>19707.89022</v>
      </c>
      <c r="G98" s="218">
        <v>1</v>
      </c>
      <c r="H98" s="254">
        <f t="shared" si="6"/>
        <v>0</v>
      </c>
      <c r="I98" s="182"/>
    </row>
    <row r="99" spans="1:9" ht="15" hidden="1">
      <c r="A99" s="556" t="str">
        <f>+'PERSONAL Y OTROS'!C134</f>
        <v>Prov. Energía/ml</v>
      </c>
      <c r="B99" s="601">
        <f>+'PERSONAL Y OTROS'!B134</f>
        <v>0</v>
      </c>
      <c r="C99" s="182"/>
      <c r="F99" s="218">
        <f>+'PERSONAL Y OTROS'!J134</f>
        <v>30264.06564</v>
      </c>
      <c r="G99" s="218">
        <v>1</v>
      </c>
      <c r="H99" s="254">
        <f t="shared" si="6"/>
        <v>0</v>
      </c>
      <c r="I99" s="182"/>
    </row>
    <row r="100" spans="1:9" ht="15" hidden="1">
      <c r="A100" s="556" t="str">
        <f>+'PERSONAL Y OTROS'!C135</f>
        <v>Vallas/m2</v>
      </c>
      <c r="B100" s="603">
        <f>+'PERSONAL Y OTROS'!B135</f>
        <v>0</v>
      </c>
      <c r="C100" s="182"/>
      <c r="F100" s="218">
        <f>+'PERSONAL Y OTROS'!J135</f>
        <v>200000</v>
      </c>
      <c r="G100" s="218">
        <v>1</v>
      </c>
      <c r="H100" s="254">
        <f t="shared" si="6"/>
        <v>0</v>
      </c>
      <c r="I100" s="182"/>
    </row>
    <row r="101" ht="16.5" customHeight="1" thickBot="1"/>
    <row r="102" spans="1:9" ht="15.75" thickBot="1">
      <c r="A102" s="384" t="s">
        <v>164</v>
      </c>
      <c r="B102" s="597"/>
      <c r="C102" s="605"/>
      <c r="D102" s="385"/>
      <c r="E102" s="597"/>
      <c r="F102" s="597"/>
      <c r="G102" s="597"/>
      <c r="H102" s="597"/>
      <c r="I102" s="386">
        <f>+I11+I34</f>
        <v>130537650.00245512</v>
      </c>
    </row>
    <row r="103" spans="1:9" ht="15" customHeight="1" thickBot="1">
      <c r="A103" s="191"/>
      <c r="B103" s="337"/>
      <c r="C103" s="389"/>
      <c r="D103" s="529"/>
      <c r="E103" s="337"/>
      <c r="F103" s="337"/>
      <c r="G103" s="337"/>
      <c r="H103" s="337"/>
      <c r="I103" s="337"/>
    </row>
    <row r="104" spans="1:9" ht="15.75" thickBot="1">
      <c r="A104" s="384" t="s">
        <v>165</v>
      </c>
      <c r="B104" s="597"/>
      <c r="C104" s="605"/>
      <c r="D104" s="385"/>
      <c r="E104" s="597"/>
      <c r="F104" s="597"/>
      <c r="G104" s="597"/>
      <c r="H104" s="597"/>
      <c r="I104" s="386">
        <f>+I46+I60+I67+I89+I55</f>
        <v>25461099.997544874</v>
      </c>
    </row>
    <row r="105" spans="1:9" ht="15.75" customHeight="1" thickBot="1">
      <c r="A105" s="191"/>
      <c r="B105" s="337"/>
      <c r="C105" s="389"/>
      <c r="D105" s="529"/>
      <c r="E105" s="337"/>
      <c r="F105" s="337"/>
      <c r="G105" s="337"/>
      <c r="H105" s="337"/>
      <c r="I105" s="337"/>
    </row>
    <row r="106" spans="1:9" ht="15.75" thickBot="1">
      <c r="A106" s="384" t="s">
        <v>166</v>
      </c>
      <c r="B106" s="597"/>
      <c r="C106" s="605"/>
      <c r="D106" s="385"/>
      <c r="E106" s="597"/>
      <c r="F106" s="597"/>
      <c r="G106" s="597"/>
      <c r="H106" s="597"/>
      <c r="I106" s="386">
        <f>SUM(I102:I104)</f>
        <v>155998750</v>
      </c>
    </row>
    <row r="107" spans="1:9" ht="15.75" customHeight="1" thickBot="1">
      <c r="A107" s="191"/>
      <c r="B107" s="337"/>
      <c r="C107" s="389"/>
      <c r="D107" s="529"/>
      <c r="E107" s="337"/>
      <c r="F107" s="337"/>
      <c r="G107" s="337"/>
      <c r="H107" s="337"/>
      <c r="I107" s="337"/>
    </row>
    <row r="108" spans="1:9" ht="20.25" customHeight="1" thickBot="1">
      <c r="A108" s="384" t="s">
        <v>120</v>
      </c>
      <c r="B108" s="597"/>
      <c r="C108" s="605"/>
      <c r="D108" s="385"/>
      <c r="E108" s="597"/>
      <c r="F108" s="606">
        <f>+'IMPUESTOS Y VR TOTAL'!C74</f>
        <v>0.16</v>
      </c>
      <c r="G108" s="597"/>
      <c r="H108" s="597"/>
      <c r="I108" s="386">
        <f>+I106*F108</f>
        <v>24959800</v>
      </c>
    </row>
    <row r="109" ht="15.75" customHeight="1" thickBot="1"/>
    <row r="110" spans="1:15" ht="15.75" thickBot="1">
      <c r="A110" s="384" t="s">
        <v>167</v>
      </c>
      <c r="B110" s="597"/>
      <c r="C110" s="605"/>
      <c r="D110" s="385"/>
      <c r="E110" s="597"/>
      <c r="F110" s="597"/>
      <c r="G110" s="597"/>
      <c r="H110" s="597"/>
      <c r="I110" s="386">
        <f>ROUND(+I108+I106,-1)</f>
        <v>180958550</v>
      </c>
      <c r="O110" s="917"/>
    </row>
    <row r="111" spans="1:15" ht="15">
      <c r="A111" s="1005" t="e">
        <f>('IMPUESTOS Y VR TOTAL'!A53)</f>
        <v>#NAME?</v>
      </c>
      <c r="B111" s="1006"/>
      <c r="C111" s="1006"/>
      <c r="D111" s="1006"/>
      <c r="E111" s="1006"/>
      <c r="F111" s="1006"/>
      <c r="G111" s="1006"/>
      <c r="H111" s="1006"/>
      <c r="I111" s="1006"/>
      <c r="O111" s="917"/>
    </row>
    <row r="112" spans="1:15" ht="12.75">
      <c r="A112" s="996"/>
      <c r="B112" s="996"/>
      <c r="C112" s="996"/>
      <c r="D112" s="996"/>
      <c r="E112" s="996"/>
      <c r="F112" s="996"/>
      <c r="G112" s="996"/>
      <c r="H112" s="996"/>
      <c r="I112" s="996"/>
      <c r="O112" s="183"/>
    </row>
    <row r="113" ht="13.5" thickBot="1">
      <c r="M113" s="223"/>
    </row>
    <row r="114" spans="8:9" ht="15.75" thickBot="1">
      <c r="H114" s="609" t="s">
        <v>777</v>
      </c>
      <c r="I114" s="386">
        <f>+I110/D9</f>
        <v>30159758.333333332</v>
      </c>
    </row>
    <row r="115" spans="4:17" ht="12.75">
      <c r="D115" s="245"/>
      <c r="O115" s="918"/>
      <c r="P115" s="919"/>
      <c r="Q115" s="919"/>
    </row>
    <row r="116" spans="1:15" ht="12.75">
      <c r="A116" s="195" t="s">
        <v>628</v>
      </c>
      <c r="B116" s="261"/>
      <c r="C116" s="356" t="str">
        <f>'INFORMACION DEL FP'!C30</f>
        <v>DLOPEZ</v>
      </c>
      <c r="D116" s="262"/>
      <c r="O116" s="183"/>
    </row>
    <row r="117" ht="12.75">
      <c r="D117" s="245"/>
    </row>
    <row r="118" ht="12.75">
      <c r="D118" s="245"/>
    </row>
    <row r="119" ht="12.75">
      <c r="D119" s="245"/>
    </row>
    <row r="120" ht="12.75">
      <c r="D120" s="245"/>
    </row>
    <row r="121" ht="12.75">
      <c r="D121" s="245"/>
    </row>
    <row r="122" ht="12.75">
      <c r="D122" s="245"/>
    </row>
    <row r="123" ht="12.75">
      <c r="D123" s="245"/>
    </row>
    <row r="124" ht="12.75">
      <c r="D124" s="245"/>
    </row>
    <row r="125" ht="12.75">
      <c r="D125" s="245"/>
    </row>
    <row r="126" ht="12.75">
      <c r="D126" s="245"/>
    </row>
    <row r="127" ht="12.75">
      <c r="D127" s="245"/>
    </row>
    <row r="128" ht="12.75">
      <c r="D128" s="245"/>
    </row>
    <row r="129" ht="12.75">
      <c r="D129" s="245"/>
    </row>
    <row r="130" ht="12.75">
      <c r="D130" s="245"/>
    </row>
    <row r="131" ht="12.75">
      <c r="D131" s="245"/>
    </row>
    <row r="132" ht="12.75">
      <c r="D132" s="245"/>
    </row>
    <row r="133" ht="12.75">
      <c r="D133" s="245"/>
    </row>
    <row r="134" ht="12.75">
      <c r="D134" s="245"/>
    </row>
    <row r="135" ht="12.75">
      <c r="D135" s="245"/>
    </row>
    <row r="136" ht="12.75">
      <c r="D136" s="245"/>
    </row>
    <row r="137" ht="12.75">
      <c r="D137" s="245"/>
    </row>
    <row r="138" ht="12.75">
      <c r="D138" s="245"/>
    </row>
    <row r="139" ht="12.75">
      <c r="D139" s="245"/>
    </row>
    <row r="140" ht="12.75">
      <c r="D140" s="245"/>
    </row>
    <row r="141" ht="12.75">
      <c r="D141" s="245"/>
    </row>
    <row r="142" ht="12.75">
      <c r="D142" s="245"/>
    </row>
    <row r="143" ht="12.75">
      <c r="D143" s="245"/>
    </row>
    <row r="144" ht="12.75">
      <c r="D144" s="245"/>
    </row>
    <row r="145" ht="12.75">
      <c r="D145" s="245"/>
    </row>
    <row r="146" ht="12.75">
      <c r="D146" s="245"/>
    </row>
    <row r="147" ht="12.75">
      <c r="D147" s="245"/>
    </row>
    <row r="148" ht="12.75">
      <c r="D148" s="245"/>
    </row>
    <row r="149" ht="12.75">
      <c r="D149" s="245"/>
    </row>
    <row r="150" ht="12.75">
      <c r="D150" s="245"/>
    </row>
    <row r="151" ht="12.75">
      <c r="D151" s="245"/>
    </row>
    <row r="152" ht="12.75">
      <c r="D152" s="245"/>
    </row>
    <row r="153" ht="12.75">
      <c r="D153" s="245"/>
    </row>
    <row r="154" ht="12.75">
      <c r="D154" s="245"/>
    </row>
    <row r="155" ht="12.75">
      <c r="D155" s="245"/>
    </row>
    <row r="156" ht="12.75">
      <c r="D156" s="245"/>
    </row>
    <row r="157" ht="12.75">
      <c r="D157" s="245"/>
    </row>
    <row r="158" ht="12.75">
      <c r="D158" s="245"/>
    </row>
    <row r="159" ht="12.75">
      <c r="D159" s="245"/>
    </row>
    <row r="160" ht="12.75">
      <c r="D160" s="245"/>
    </row>
    <row r="161" ht="12.75">
      <c r="D161" s="245"/>
    </row>
    <row r="162" ht="12.75">
      <c r="D162" s="245"/>
    </row>
    <row r="163" ht="12.75">
      <c r="D163" s="245"/>
    </row>
    <row r="164" ht="12.75">
      <c r="D164" s="245"/>
    </row>
    <row r="165" ht="12.75">
      <c r="D165" s="245"/>
    </row>
    <row r="166" ht="12.75">
      <c r="D166" s="245"/>
    </row>
    <row r="167" ht="12.75">
      <c r="D167" s="245"/>
    </row>
    <row r="168" ht="12.75">
      <c r="D168" s="245"/>
    </row>
    <row r="169" ht="12.75">
      <c r="D169" s="245"/>
    </row>
    <row r="170" ht="12.75">
      <c r="D170" s="245"/>
    </row>
    <row r="171" ht="12.75">
      <c r="D171" s="245"/>
    </row>
    <row r="172" ht="12.75">
      <c r="D172" s="245"/>
    </row>
    <row r="173" ht="12.75">
      <c r="D173" s="245"/>
    </row>
    <row r="174" ht="12.75">
      <c r="D174" s="245"/>
    </row>
    <row r="175" ht="12.75">
      <c r="D175" s="245"/>
    </row>
    <row r="176" ht="12.75">
      <c r="D176" s="245"/>
    </row>
    <row r="177" ht="12.75">
      <c r="D177" s="245"/>
    </row>
    <row r="178" ht="12.75">
      <c r="D178" s="245"/>
    </row>
    <row r="179" ht="12.75">
      <c r="D179" s="245"/>
    </row>
    <row r="180" ht="12.75">
      <c r="D180" s="245"/>
    </row>
    <row r="181" ht="12.75">
      <c r="D181" s="245"/>
    </row>
    <row r="182" ht="12.75">
      <c r="D182" s="245"/>
    </row>
    <row r="183" ht="12.75">
      <c r="D183" s="245"/>
    </row>
    <row r="184" ht="12.75">
      <c r="D184" s="245"/>
    </row>
    <row r="185" ht="12.75">
      <c r="D185" s="245"/>
    </row>
    <row r="186" ht="12.75">
      <c r="D186" s="245"/>
    </row>
    <row r="187" ht="12.75">
      <c r="D187" s="245"/>
    </row>
    <row r="188" ht="12.75">
      <c r="D188" s="245"/>
    </row>
    <row r="189" ht="12.75">
      <c r="D189" s="245"/>
    </row>
    <row r="190" ht="12.75">
      <c r="D190" s="245"/>
    </row>
    <row r="191" ht="12.75">
      <c r="D191" s="245"/>
    </row>
    <row r="192" ht="12.75">
      <c r="D192" s="245"/>
    </row>
    <row r="193" ht="12.75">
      <c r="D193" s="245"/>
    </row>
    <row r="194" ht="12.75">
      <c r="D194" s="245"/>
    </row>
    <row r="195" ht="12.75">
      <c r="D195" s="245"/>
    </row>
    <row r="196" ht="12.75">
      <c r="D196" s="245"/>
    </row>
    <row r="197" ht="12.75">
      <c r="D197" s="245"/>
    </row>
    <row r="198" ht="12.75">
      <c r="D198" s="245"/>
    </row>
    <row r="199" ht="12.75">
      <c r="D199" s="245"/>
    </row>
    <row r="200" ht="12.75">
      <c r="D200" s="245"/>
    </row>
    <row r="201" ht="12.75">
      <c r="D201" s="245"/>
    </row>
    <row r="202" ht="12.75">
      <c r="D202" s="245"/>
    </row>
    <row r="203" ht="12.75">
      <c r="D203" s="245"/>
    </row>
    <row r="204" ht="12.75">
      <c r="D204" s="245"/>
    </row>
    <row r="205" ht="12.75">
      <c r="D205" s="245"/>
    </row>
    <row r="206" ht="12.75">
      <c r="D206" s="245"/>
    </row>
    <row r="207" ht="12.75">
      <c r="D207" s="245"/>
    </row>
    <row r="208" ht="12.75">
      <c r="D208" s="245"/>
    </row>
    <row r="209" ht="12.75">
      <c r="D209" s="245"/>
    </row>
    <row r="210" ht="12.75">
      <c r="D210" s="245"/>
    </row>
    <row r="211" ht="12.75">
      <c r="D211" s="245"/>
    </row>
    <row r="212" ht="12.75">
      <c r="D212" s="245"/>
    </row>
    <row r="213" ht="12.75">
      <c r="D213" s="245"/>
    </row>
    <row r="214" ht="12.75">
      <c r="D214" s="245"/>
    </row>
    <row r="215" ht="12.75">
      <c r="D215" s="245"/>
    </row>
    <row r="216" ht="12.75">
      <c r="D216" s="245"/>
    </row>
    <row r="217" ht="12.75">
      <c r="D217" s="245"/>
    </row>
    <row r="218" ht="12.75">
      <c r="D218" s="245"/>
    </row>
    <row r="219" ht="12.75">
      <c r="D219" s="245"/>
    </row>
    <row r="220" ht="12.75">
      <c r="D220" s="245"/>
    </row>
    <row r="221" ht="12.75">
      <c r="D221" s="245"/>
    </row>
    <row r="222" ht="12.75">
      <c r="D222" s="245"/>
    </row>
    <row r="223" ht="12.75">
      <c r="D223" s="245"/>
    </row>
    <row r="224" ht="12.75">
      <c r="D224" s="245"/>
    </row>
    <row r="225" ht="12.75">
      <c r="D225" s="245"/>
    </row>
    <row r="226" ht="12.75">
      <c r="D226" s="245"/>
    </row>
    <row r="227" ht="12.75">
      <c r="D227" s="245"/>
    </row>
    <row r="228" ht="12.75">
      <c r="D228" s="245"/>
    </row>
    <row r="229" ht="12.75">
      <c r="D229" s="245"/>
    </row>
    <row r="230" ht="12.75">
      <c r="D230" s="245"/>
    </row>
    <row r="231" ht="12.75">
      <c r="D231" s="245"/>
    </row>
    <row r="232" ht="12.75">
      <c r="D232" s="245"/>
    </row>
    <row r="233" ht="12.75">
      <c r="D233" s="245"/>
    </row>
    <row r="234" ht="12.75">
      <c r="D234" s="245"/>
    </row>
    <row r="235" ht="12.75">
      <c r="D235" s="245"/>
    </row>
    <row r="236" ht="12.75">
      <c r="D236" s="245"/>
    </row>
    <row r="237" ht="12.75">
      <c r="D237" s="245"/>
    </row>
    <row r="238" ht="12.75">
      <c r="D238" s="245"/>
    </row>
    <row r="239" ht="12.75">
      <c r="D239" s="245"/>
    </row>
    <row r="240" ht="12.75">
      <c r="D240" s="245"/>
    </row>
    <row r="241" ht="12.75">
      <c r="D241" s="245"/>
    </row>
    <row r="242" ht="12.75">
      <c r="D242" s="245"/>
    </row>
    <row r="243" ht="12.75">
      <c r="D243" s="245"/>
    </row>
    <row r="244" ht="12.75">
      <c r="D244" s="245"/>
    </row>
    <row r="245" ht="12.75">
      <c r="D245" s="245"/>
    </row>
    <row r="246" ht="12.75">
      <c r="D246" s="245"/>
    </row>
    <row r="247" ht="12.75">
      <c r="D247" s="245"/>
    </row>
    <row r="248" ht="12.75">
      <c r="D248" s="245"/>
    </row>
    <row r="249" ht="12.75">
      <c r="D249" s="245"/>
    </row>
    <row r="250" ht="12.75">
      <c r="D250" s="245"/>
    </row>
    <row r="251" ht="12.75">
      <c r="D251" s="245"/>
    </row>
    <row r="252" ht="12.75">
      <c r="D252" s="245"/>
    </row>
    <row r="253" ht="12.75">
      <c r="D253" s="245"/>
    </row>
    <row r="254" ht="12.75">
      <c r="D254" s="245"/>
    </row>
    <row r="255" ht="12.75">
      <c r="D255" s="245"/>
    </row>
    <row r="256" ht="12.75">
      <c r="D256" s="245"/>
    </row>
    <row r="257" ht="12.75">
      <c r="D257" s="245"/>
    </row>
    <row r="258" ht="12.75">
      <c r="D258" s="245"/>
    </row>
    <row r="259" ht="12.75">
      <c r="D259" s="245"/>
    </row>
    <row r="260" ht="12.75">
      <c r="D260" s="245"/>
    </row>
    <row r="261" ht="12.75">
      <c r="D261" s="245"/>
    </row>
    <row r="262" ht="12.75">
      <c r="D262" s="245"/>
    </row>
    <row r="263" ht="12.75">
      <c r="D263" s="245"/>
    </row>
    <row r="264" ht="12.75">
      <c r="D264" s="245"/>
    </row>
    <row r="265" ht="12.75">
      <c r="D265" s="245"/>
    </row>
    <row r="266" ht="12.75">
      <c r="D266" s="245"/>
    </row>
    <row r="267" ht="12.75">
      <c r="D267" s="245"/>
    </row>
    <row r="268" ht="12.75">
      <c r="D268" s="245"/>
    </row>
    <row r="269" ht="12.75">
      <c r="D269" s="245"/>
    </row>
    <row r="270" ht="12.75">
      <c r="D270" s="245"/>
    </row>
    <row r="271" ht="12.75">
      <c r="D271" s="245"/>
    </row>
    <row r="272" ht="12.75">
      <c r="D272" s="245"/>
    </row>
    <row r="273" ht="12.75">
      <c r="D273" s="245"/>
    </row>
    <row r="274" ht="12.75">
      <c r="D274" s="245"/>
    </row>
    <row r="275" ht="12.75">
      <c r="D275" s="245"/>
    </row>
    <row r="276" ht="12.75">
      <c r="D276" s="245"/>
    </row>
    <row r="277" ht="12.75">
      <c r="D277" s="245"/>
    </row>
    <row r="278" ht="12.75">
      <c r="D278" s="245"/>
    </row>
    <row r="279" ht="12.75">
      <c r="D279" s="245"/>
    </row>
    <row r="280" ht="12.75">
      <c r="D280" s="245"/>
    </row>
    <row r="281" ht="12.75">
      <c r="D281" s="245"/>
    </row>
    <row r="282" ht="12.75">
      <c r="D282" s="245"/>
    </row>
    <row r="283" ht="12.75">
      <c r="D283" s="245"/>
    </row>
    <row r="284" ht="12.75">
      <c r="D284" s="245"/>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sheetData>
  <sheetProtection/>
  <mergeCells count="5">
    <mergeCell ref="A111:I112"/>
    <mergeCell ref="A1:I1"/>
    <mergeCell ref="A2:I2"/>
    <mergeCell ref="A3:I3"/>
    <mergeCell ref="B5:I5"/>
  </mergeCells>
  <dataValidations count="2">
    <dataValidation type="list" allowBlank="1" showInputMessage="1" showErrorMessage="1" sqref="C115">
      <formula1>$IR$36:$IR$41</formula1>
    </dataValidation>
    <dataValidation type="list" allowBlank="1" showInputMessage="1" showErrorMessage="1" sqref="C54">
      <formula1>$IR$13:$IR$19</formula1>
    </dataValidation>
  </dataValidation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5" r:id="rId1"/>
  <headerFooter alignWithMargins="0">
    <oddHeader>&amp;CAnálisis de Costos - Área de Estudios Previos</oddHeader>
    <oddFooter>&amp;L16/02/2010&amp;R0</oddFooter>
  </headerFooter>
</worksheet>
</file>

<file path=xl/worksheets/sheet8.xml><?xml version="1.0" encoding="utf-8"?>
<worksheet xmlns="http://schemas.openxmlformats.org/spreadsheetml/2006/main" xmlns:r="http://schemas.openxmlformats.org/officeDocument/2006/relationships">
  <sheetPr codeName="Hoja7">
    <tabColor rgb="FFFCF600"/>
    <pageSetUpPr fitToPage="1"/>
  </sheetPr>
  <dimension ref="A1:O44"/>
  <sheetViews>
    <sheetView zoomScale="70" zoomScaleNormal="70" zoomScalePageLayoutView="0" workbookViewId="0" topLeftCell="A43">
      <selection activeCell="L31" sqref="L31"/>
    </sheetView>
  </sheetViews>
  <sheetFormatPr defaultColWidth="12" defaultRowHeight="12.75" outlineLevelRow="1"/>
  <cols>
    <col min="1" max="1" width="12" style="282" customWidth="1"/>
    <col min="2" max="2" width="43" style="282" customWidth="1"/>
    <col min="3" max="3" width="12" style="282" customWidth="1"/>
    <col min="4" max="4" width="19.5" style="282" customWidth="1"/>
    <col min="5" max="5" width="15.83203125" style="354" bestFit="1" customWidth="1"/>
    <col min="6" max="6" width="25.66015625" style="357" customWidth="1"/>
    <col min="7" max="7" width="14.83203125" style="282" bestFit="1" customWidth="1"/>
    <col min="8" max="8" width="12.66015625" style="282" bestFit="1" customWidth="1"/>
    <col min="9" max="16384" width="12" style="282" customWidth="1"/>
  </cols>
  <sheetData>
    <row r="1" spans="1:15" ht="19.5" customHeight="1">
      <c r="A1" s="999" t="s">
        <v>176</v>
      </c>
      <c r="B1" s="999"/>
      <c r="C1" s="999"/>
      <c r="D1" s="999"/>
      <c r="E1" s="999"/>
      <c r="F1" s="999"/>
      <c r="G1" s="341"/>
      <c r="H1" s="341"/>
      <c r="I1" s="341"/>
      <c r="J1" s="341"/>
      <c r="K1" s="341"/>
      <c r="L1" s="341"/>
      <c r="M1" s="341"/>
      <c r="N1" s="341"/>
      <c r="O1" s="341"/>
    </row>
    <row r="2" spans="1:15" ht="15.75">
      <c r="A2" s="1011">
        <f>+'INFORMACION DEL FP'!A2:D2</f>
        <v>0</v>
      </c>
      <c r="B2" s="1011"/>
      <c r="C2" s="1011"/>
      <c r="D2" s="1011"/>
      <c r="E2" s="1011"/>
      <c r="F2" s="1011"/>
      <c r="G2" s="341"/>
      <c r="H2" s="341"/>
      <c r="I2" s="341"/>
      <c r="J2" s="341"/>
      <c r="K2" s="341"/>
      <c r="L2" s="341"/>
      <c r="M2" s="341"/>
      <c r="N2" s="341"/>
      <c r="O2" s="341"/>
    </row>
    <row r="3" spans="1:15" ht="5.25" customHeight="1">
      <c r="A3" s="928"/>
      <c r="B3" s="928"/>
      <c r="C3" s="928"/>
      <c r="D3" s="928"/>
      <c r="E3" s="928"/>
      <c r="F3" s="928"/>
      <c r="G3" s="341"/>
      <c r="H3" s="341"/>
      <c r="I3" s="341"/>
      <c r="J3" s="341"/>
      <c r="K3" s="341"/>
      <c r="L3" s="341"/>
      <c r="M3" s="341"/>
      <c r="N3" s="341"/>
      <c r="O3" s="341"/>
    </row>
    <row r="4" spans="1:6" ht="5.25" customHeight="1">
      <c r="A4" s="1018"/>
      <c r="B4" s="1019"/>
      <c r="C4" s="1019"/>
      <c r="D4" s="1019"/>
      <c r="E4" s="1019"/>
      <c r="F4" s="1020"/>
    </row>
    <row r="5" spans="1:6" ht="18.75" customHeight="1">
      <c r="A5" s="1021" t="s">
        <v>177</v>
      </c>
      <c r="B5" s="1022"/>
      <c r="C5" s="1022"/>
      <c r="D5" s="1022"/>
      <c r="E5" s="1022"/>
      <c r="F5" s="1023"/>
    </row>
    <row r="6" spans="1:6" ht="32.25" customHeight="1">
      <c r="A6" s="1024" t="str">
        <f>+'PERSONAL Y OTROS'!B6</f>
        <v>INTERVENTORÍA TÉCNICA, ADMINISTRATIVA, FINANCIERA, CONTABLE, AMBIENTAL, SOCIAL  Y  JURÍDICA PARA LA EJECUCIÓN CONDICIONAL POR FASES DEL PROYECTO "MEJORAMIENTO DEL SISTEMA DE ACUEDUCTO SEGÚN PLAN MAESTRO DEL MUNICIPIO DE RONCESVALLES" - FASE III</v>
      </c>
      <c r="B6" s="1024"/>
      <c r="C6" s="1024"/>
      <c r="D6" s="1024"/>
      <c r="E6" s="1024"/>
      <c r="F6" s="1024"/>
    </row>
    <row r="7" spans="1:6" ht="12.75">
      <c r="A7" s="358"/>
      <c r="B7" s="359"/>
      <c r="C7" s="359"/>
      <c r="D7" s="359"/>
      <c r="E7" s="359"/>
      <c r="F7" s="359"/>
    </row>
    <row r="8" spans="1:6" ht="15" customHeight="1">
      <c r="A8" s="1008" t="s">
        <v>131</v>
      </c>
      <c r="B8" s="1008"/>
      <c r="C8" s="1008"/>
      <c r="D8" s="1008"/>
      <c r="E8" s="1008"/>
      <c r="F8" s="1008"/>
    </row>
    <row r="9" spans="1:6" ht="15" customHeight="1">
      <c r="A9" s="1014" t="s">
        <v>111</v>
      </c>
      <c r="B9" s="1014"/>
      <c r="C9" s="1015">
        <f>+'PERSONAL Y OTROS'!O9</f>
        <v>0</v>
      </c>
      <c r="D9" s="1016"/>
      <c r="E9" s="1016"/>
      <c r="F9" s="1017"/>
    </row>
    <row r="10" spans="1:6" ht="15">
      <c r="A10" s="364" t="s">
        <v>132</v>
      </c>
      <c r="B10" s="365" t="s">
        <v>133</v>
      </c>
      <c r="C10" s="365" t="s">
        <v>134</v>
      </c>
      <c r="D10" s="365" t="s">
        <v>135</v>
      </c>
      <c r="E10" s="366" t="s">
        <v>136</v>
      </c>
      <c r="F10" s="365" t="s">
        <v>137</v>
      </c>
    </row>
    <row r="11" spans="1:7" ht="15">
      <c r="A11" s="370">
        <v>1</v>
      </c>
      <c r="B11" s="371" t="s">
        <v>138</v>
      </c>
      <c r="C11" s="372" t="s">
        <v>39</v>
      </c>
      <c r="D11" s="373" t="e">
        <f>+F11/C9</f>
        <v>#DIV/0!</v>
      </c>
      <c r="E11" s="374"/>
      <c r="F11" s="375">
        <f>SUM(E12:E31)</f>
        <v>150543001.79135275</v>
      </c>
      <c r="G11" s="361"/>
    </row>
    <row r="12" spans="1:6" ht="51" outlineLevel="1">
      <c r="A12" s="342">
        <f aca="true" t="shared" si="0" ref="A12:A31">+A11+0.01</f>
        <v>1.01</v>
      </c>
      <c r="B12" s="343" t="s">
        <v>276</v>
      </c>
      <c r="C12" s="344" t="s">
        <v>139</v>
      </c>
      <c r="D12" s="344">
        <v>1</v>
      </c>
      <c r="E12" s="345">
        <f>Profesional+Tecnico+NoFacturable+Calidad</f>
        <v>118628151.6048465</v>
      </c>
      <c r="F12" s="346"/>
    </row>
    <row r="13" spans="1:6" ht="38.25" outlineLevel="1">
      <c r="A13" s="342">
        <f t="shared" si="0"/>
        <v>1.02</v>
      </c>
      <c r="B13" s="343" t="s">
        <v>143</v>
      </c>
      <c r="C13" s="344" t="s">
        <v>139</v>
      </c>
      <c r="D13" s="344">
        <v>1</v>
      </c>
      <c r="E13" s="345">
        <f>Campamento</f>
        <v>0</v>
      </c>
      <c r="F13" s="346"/>
    </row>
    <row r="14" spans="1:6" ht="76.5" outlineLevel="1">
      <c r="A14" s="342">
        <f t="shared" si="0"/>
        <v>1.03</v>
      </c>
      <c r="B14" s="343" t="s">
        <v>144</v>
      </c>
      <c r="C14" s="344" t="s">
        <v>139</v>
      </c>
      <c r="D14" s="344">
        <v>1</v>
      </c>
      <c r="E14" s="345">
        <f>Oficina</f>
        <v>6372043.4257236</v>
      </c>
      <c r="F14" s="346"/>
    </row>
    <row r="15" spans="1:6" ht="25.5" outlineLevel="1">
      <c r="A15" s="342">
        <f t="shared" si="0"/>
        <v>1.04</v>
      </c>
      <c r="B15" s="343" t="s">
        <v>145</v>
      </c>
      <c r="C15" s="344" t="s">
        <v>139</v>
      </c>
      <c r="D15" s="344">
        <v>1</v>
      </c>
      <c r="E15" s="345">
        <f>Ensayos</f>
        <v>5233034.489094899</v>
      </c>
      <c r="F15" s="346"/>
    </row>
    <row r="16" spans="1:6" ht="25.5" outlineLevel="1">
      <c r="A16" s="342">
        <f t="shared" si="0"/>
        <v>1.05</v>
      </c>
      <c r="B16" s="343" t="s">
        <v>146</v>
      </c>
      <c r="C16" s="344" t="s">
        <v>139</v>
      </c>
      <c r="D16" s="344">
        <v>1</v>
      </c>
      <c r="E16" s="345">
        <f>Equipo</f>
        <v>11766040.508449975</v>
      </c>
      <c r="F16" s="346"/>
    </row>
    <row r="17" spans="1:6" ht="12.75" outlineLevel="1">
      <c r="A17" s="342">
        <f t="shared" si="0"/>
        <v>1.06</v>
      </c>
      <c r="B17" s="343" t="s">
        <v>282</v>
      </c>
      <c r="C17" s="344" t="s">
        <v>139</v>
      </c>
      <c r="D17" s="344">
        <v>1</v>
      </c>
      <c r="E17" s="345">
        <f>Tramite</f>
        <v>0</v>
      </c>
      <c r="F17" s="346"/>
    </row>
    <row r="18" spans="1:8" ht="12.75" outlineLevel="1">
      <c r="A18" s="342">
        <f t="shared" si="0"/>
        <v>1.07</v>
      </c>
      <c r="B18" s="343" t="s">
        <v>147</v>
      </c>
      <c r="C18" s="344" t="s">
        <v>139</v>
      </c>
      <c r="D18" s="344">
        <v>1</v>
      </c>
      <c r="E18" s="345">
        <f>Viajes</f>
        <v>8462025</v>
      </c>
      <c r="F18" s="346"/>
      <c r="G18" s="347"/>
      <c r="H18" s="347"/>
    </row>
    <row r="19" spans="1:6" ht="12.75" outlineLevel="1">
      <c r="A19" s="342">
        <f t="shared" si="0"/>
        <v>1.08</v>
      </c>
      <c r="B19" s="343" t="str">
        <f>+'IMPUESTOS Y VR TOTAL'!B11</f>
        <v>Imp. Transac Fin (4x1000)</v>
      </c>
      <c r="C19" s="344" t="s">
        <v>139</v>
      </c>
      <c r="D19" s="344">
        <v>1</v>
      </c>
      <c r="E19" s="345">
        <f>+'IMPUESTOS Y VR TOTAL'!E11</f>
        <v>469.8052265831457</v>
      </c>
      <c r="F19" s="346"/>
    </row>
    <row r="20" spans="1:6" ht="12.75" outlineLevel="1">
      <c r="A20" s="342">
        <f t="shared" si="0"/>
        <v>1.09</v>
      </c>
      <c r="B20" s="343" t="str">
        <f>+'IMPUESTOS Y VR TOTAL'!B12</f>
        <v>ICA</v>
      </c>
      <c r="C20" s="344" t="s">
        <v>139</v>
      </c>
      <c r="D20" s="344">
        <v>1</v>
      </c>
      <c r="E20" s="345">
        <f>+'IMPUESTOS Y VR TOTAL'!E12</f>
        <v>810.4140158559263</v>
      </c>
      <c r="F20" s="346"/>
    </row>
    <row r="21" spans="1:6" ht="12.75" outlineLevel="1">
      <c r="A21" s="342">
        <f t="shared" si="0"/>
        <v>1.1</v>
      </c>
      <c r="B21" s="343" t="str">
        <f>+'IMPUESTOS Y VR TOTAL'!B13</f>
        <v>Contribución Ley 1106</v>
      </c>
      <c r="C21" s="344" t="s">
        <v>139</v>
      </c>
      <c r="D21" s="344">
        <v>1</v>
      </c>
      <c r="E21" s="345">
        <f>+'IMPUESTOS Y VR TOTAL'!E13</f>
        <v>5872.565332289322</v>
      </c>
      <c r="F21" s="346"/>
    </row>
    <row r="22" spans="1:6" ht="12.75" outlineLevel="1">
      <c r="A22" s="342">
        <f t="shared" si="0"/>
        <v>1.11</v>
      </c>
      <c r="B22" s="343" t="str">
        <f>+'IMPUESTOS Y VR TOTAL'!B14</f>
        <v>Renta/Utilidad</v>
      </c>
      <c r="C22" s="344" t="s">
        <v>139</v>
      </c>
      <c r="D22" s="344">
        <v>1</v>
      </c>
      <c r="E22" s="345">
        <f>+'IMPUESTOS Y VR TOTAL'!E14</f>
        <v>0</v>
      </c>
      <c r="F22" s="346"/>
    </row>
    <row r="23" spans="1:6" ht="12.75" outlineLevel="1">
      <c r="A23" s="342">
        <f t="shared" si="0"/>
        <v>1.12</v>
      </c>
      <c r="B23" s="343" t="str">
        <f>+'IMPUESTOS Y VR TOTAL'!B16</f>
        <v>Retención/Vr Total Cto Obra</v>
      </c>
      <c r="C23" s="344" t="s">
        <v>139</v>
      </c>
      <c r="D23" s="344">
        <v>1</v>
      </c>
      <c r="E23" s="345">
        <f>+'IMPUESTOS Y VR TOTAL'!E16</f>
        <v>1174.5130664578644</v>
      </c>
      <c r="F23" s="346"/>
    </row>
    <row r="24" spans="1:6" ht="12.75" outlineLevel="1">
      <c r="A24" s="342">
        <f t="shared" si="0"/>
        <v>1.1300000000000001</v>
      </c>
      <c r="B24" s="343" t="str">
        <f>+'IMPUESTOS Y VR TOTAL'!B17</f>
        <v>Timbre/Vr Total Cto</v>
      </c>
      <c r="C24" s="344" t="s">
        <v>139</v>
      </c>
      <c r="D24" s="344">
        <v>1</v>
      </c>
      <c r="E24" s="345">
        <f>+'IMPUESTOS Y VR TOTAL'!E17</f>
        <v>0</v>
      </c>
      <c r="F24" s="346"/>
    </row>
    <row r="25" spans="1:6" ht="12.75" outlineLevel="1">
      <c r="A25" s="342">
        <f t="shared" si="0"/>
        <v>1.1400000000000001</v>
      </c>
      <c r="B25" s="343" t="str">
        <f>+'IMPUESTOS Y VR TOTAL'!B19</f>
        <v>Garantía de Seriedad</v>
      </c>
      <c r="C25" s="344" t="s">
        <v>139</v>
      </c>
      <c r="D25" s="344">
        <v>1</v>
      </c>
      <c r="E25" s="345">
        <f>+'IMPUESTOS Y VR TOTAL'!E19</f>
        <v>36000</v>
      </c>
      <c r="F25" s="346"/>
    </row>
    <row r="26" spans="1:6" ht="12.75" outlineLevel="1">
      <c r="A26" s="342">
        <f t="shared" si="0"/>
        <v>1.1500000000000001</v>
      </c>
      <c r="B26" s="343" t="str">
        <f>+'IMPUESTOS Y VR TOTAL'!B20</f>
        <v>Buen manejo Anticipo</v>
      </c>
      <c r="C26" s="344" t="s">
        <v>139</v>
      </c>
      <c r="D26" s="344">
        <v>1</v>
      </c>
      <c r="E26" s="345">
        <f>+'IMPUESTOS Y VR TOTAL'!E20</f>
        <v>0</v>
      </c>
      <c r="F26" s="346"/>
    </row>
    <row r="27" spans="1:6" ht="12.75" outlineLevel="1">
      <c r="A27" s="342">
        <f t="shared" si="0"/>
        <v>1.1600000000000001</v>
      </c>
      <c r="B27" s="343" t="str">
        <f>+'IMPUESTOS Y VR TOTAL'!B21</f>
        <v>Cumplimiento</v>
      </c>
      <c r="C27" s="344" t="s">
        <v>139</v>
      </c>
      <c r="D27" s="344">
        <v>1</v>
      </c>
      <c r="E27" s="345">
        <f>+'IMPUESTOS Y VR TOTAL'!E21</f>
        <v>36000</v>
      </c>
      <c r="F27" s="346"/>
    </row>
    <row r="28" spans="1:6" ht="12.75" outlineLevel="1">
      <c r="A28" s="342">
        <f t="shared" si="0"/>
        <v>1.1700000000000002</v>
      </c>
      <c r="B28" s="343" t="str">
        <f>+'IMPUESTOS Y VR TOTAL'!B22</f>
        <v>Salarios, Prestaciones</v>
      </c>
      <c r="C28" s="344" t="s">
        <v>139</v>
      </c>
      <c r="D28" s="344">
        <v>1</v>
      </c>
      <c r="E28" s="345">
        <f>+'IMPUESTOS Y VR TOTAL'!E22</f>
        <v>238.4261524909465</v>
      </c>
      <c r="F28" s="346"/>
    </row>
    <row r="29" spans="1:6" ht="12.75" outlineLevel="1">
      <c r="A29" s="342">
        <f t="shared" si="0"/>
        <v>1.1800000000000002</v>
      </c>
      <c r="B29" s="343" t="str">
        <f>+'IMPUESTOS Y VR TOTAL'!B23</f>
        <v>Estabilidad de la Obra</v>
      </c>
      <c r="C29" s="344" t="s">
        <v>139</v>
      </c>
      <c r="D29" s="344">
        <v>1</v>
      </c>
      <c r="E29" s="345">
        <f>+'IMPUESTOS Y VR TOTAL'!E23</f>
        <v>1124.009004600176</v>
      </c>
      <c r="F29" s="346"/>
    </row>
    <row r="30" spans="1:6" ht="12.75" outlineLevel="1">
      <c r="A30" s="342">
        <f t="shared" si="0"/>
        <v>1.1900000000000002</v>
      </c>
      <c r="B30" s="343" t="str">
        <f>+'IMPUESTOS Y VR TOTAL'!B18</f>
        <v>Publicación Diario Oficial</v>
      </c>
      <c r="C30" s="344" t="s">
        <v>139</v>
      </c>
      <c r="D30" s="344">
        <v>1</v>
      </c>
      <c r="E30" s="345">
        <f>+'IMPUESTOS Y VR TOTAL'!E18</f>
        <v>0</v>
      </c>
      <c r="F30" s="346"/>
    </row>
    <row r="31" spans="1:6" ht="12.75" outlineLevel="1">
      <c r="A31" s="342">
        <f t="shared" si="0"/>
        <v>1.2000000000000002</v>
      </c>
      <c r="B31" s="343" t="str">
        <f>+'IMPUESTOS Y VR TOTAL'!B24</f>
        <v>Responsabilidad Civil</v>
      </c>
      <c r="C31" s="344" t="s">
        <v>139</v>
      </c>
      <c r="D31" s="344">
        <v>1</v>
      </c>
      <c r="E31" s="345">
        <f>+'IMPUESTOS Y VR TOTAL'!E24</f>
        <v>17.03043946363903</v>
      </c>
      <c r="F31" s="346"/>
    </row>
    <row r="32" spans="1:6" ht="12.75">
      <c r="A32" s="348"/>
      <c r="B32" s="349"/>
      <c r="C32" s="350"/>
      <c r="D32" s="351"/>
      <c r="E32" s="352"/>
      <c r="F32" s="346"/>
    </row>
    <row r="33" spans="1:6" ht="15">
      <c r="A33" s="376">
        <v>2</v>
      </c>
      <c r="B33" s="371" t="s">
        <v>140</v>
      </c>
      <c r="C33" s="372" t="s">
        <v>39</v>
      </c>
      <c r="D33" s="373">
        <f>+'COSTEO TOTAL OBRA'!B27</f>
        <v>0.03</v>
      </c>
      <c r="E33" s="374"/>
      <c r="F33" s="377">
        <f>+'COSTEO TOTAL OBRA'!C27</f>
        <v>0</v>
      </c>
    </row>
    <row r="34" spans="1:6" ht="15">
      <c r="A34" s="376">
        <v>3</v>
      </c>
      <c r="B34" s="371" t="s">
        <v>108</v>
      </c>
      <c r="C34" s="372" t="s">
        <v>39</v>
      </c>
      <c r="D34" s="373">
        <f>+'COSTEO TOTAL OBRA'!B29</f>
        <v>0.05</v>
      </c>
      <c r="E34" s="374"/>
      <c r="F34" s="377">
        <f>+'COSTEO TOTAL OBRA'!C29</f>
        <v>0</v>
      </c>
    </row>
    <row r="35" spans="1:6" ht="12.75">
      <c r="A35" s="1012" t="s">
        <v>148</v>
      </c>
      <c r="B35" s="1013"/>
      <c r="C35" s="353" t="s">
        <v>39</v>
      </c>
      <c r="D35" s="362" t="e">
        <f>+F35/C9</f>
        <v>#DIV/0!</v>
      </c>
      <c r="E35" s="360"/>
      <c r="F35" s="363">
        <f>+F34+F33+F11</f>
        <v>150543001.79135275</v>
      </c>
    </row>
    <row r="36" ht="12.75">
      <c r="F36" s="355"/>
    </row>
    <row r="37" spans="1:6" ht="15">
      <c r="A37" s="378">
        <v>4</v>
      </c>
      <c r="B37" s="371" t="str">
        <f>+'IMPUESTOS Y VR TOTAL'!B15</f>
        <v>Iva/Utilidad</v>
      </c>
      <c r="C37" s="372" t="s">
        <v>139</v>
      </c>
      <c r="D37" s="372">
        <v>1</v>
      </c>
      <c r="E37" s="379"/>
      <c r="F37" s="377">
        <f>+'IMPUESTOS Y VR TOTAL'!E15</f>
        <v>0</v>
      </c>
    </row>
    <row r="40" spans="1:6" ht="15">
      <c r="A40" s="1009" t="s">
        <v>605</v>
      </c>
      <c r="B40" s="1010"/>
      <c r="C40" s="365"/>
      <c r="D40" s="367"/>
      <c r="E40" s="368"/>
      <c r="F40" s="369">
        <f>+ROUND(C9+F35+F37,-1)</f>
        <v>150543000</v>
      </c>
    </row>
    <row r="41" ht="12.75">
      <c r="F41" s="355"/>
    </row>
    <row r="42" ht="12.75">
      <c r="F42" s="355"/>
    </row>
    <row r="43" spans="1:4" ht="12.75">
      <c r="A43" s="195" t="s">
        <v>628</v>
      </c>
      <c r="B43" s="261"/>
      <c r="C43" s="356" t="str">
        <f>'INFORMACION DEL FP'!C30</f>
        <v>DLOPEZ</v>
      </c>
      <c r="D43" s="262"/>
    </row>
    <row r="44" ht="12.75">
      <c r="F44" s="355"/>
    </row>
  </sheetData>
  <sheetProtection/>
  <mergeCells count="11">
    <mergeCell ref="A6:F6"/>
    <mergeCell ref="A8:F8"/>
    <mergeCell ref="A40:B40"/>
    <mergeCell ref="A1:F1"/>
    <mergeCell ref="A2:F2"/>
    <mergeCell ref="A3:F3"/>
    <mergeCell ref="A35:B35"/>
    <mergeCell ref="A9:B9"/>
    <mergeCell ref="C9:F9"/>
    <mergeCell ref="A4:F4"/>
    <mergeCell ref="A5:F5"/>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90" r:id="rId1"/>
  <headerFooter alignWithMargins="0">
    <oddHeader>&amp;CAnálisis de Costos - Área de Estudios Previos</oddHeader>
    <oddFooter>&amp;L16/02/2010&amp;R0</oddFooter>
  </headerFooter>
</worksheet>
</file>

<file path=xl/worksheets/sheet9.xml><?xml version="1.0" encoding="utf-8"?>
<worksheet xmlns="http://schemas.openxmlformats.org/spreadsheetml/2006/main" xmlns:r="http://schemas.openxmlformats.org/officeDocument/2006/relationships">
  <sheetPr codeName="Hoja4">
    <tabColor rgb="FF00B0F0"/>
    <pageSetUpPr fitToPage="1"/>
  </sheetPr>
  <dimension ref="A1:IS40"/>
  <sheetViews>
    <sheetView showGridLines="0" zoomScalePageLayoutView="0" workbookViewId="0" topLeftCell="A1">
      <selection activeCell="B25" sqref="B25"/>
    </sheetView>
  </sheetViews>
  <sheetFormatPr defaultColWidth="12" defaultRowHeight="12.75"/>
  <cols>
    <col min="1" max="1" width="23.83203125" style="6" customWidth="1"/>
    <col min="2" max="3" width="20.16015625" style="6" customWidth="1"/>
    <col min="4" max="4" width="19.33203125" style="5" customWidth="1"/>
    <col min="5" max="5" width="8" style="10" customWidth="1"/>
    <col min="6" max="6" width="24.33203125" style="6" customWidth="1"/>
    <col min="7" max="7" width="17.66015625" style="6" customWidth="1"/>
    <col min="8" max="8" width="18.66015625" style="6" customWidth="1"/>
    <col min="9" max="9" width="19.5" style="6" customWidth="1"/>
    <col min="10" max="10" width="22.66015625" style="6" customWidth="1"/>
    <col min="11" max="251" width="12" style="6" customWidth="1"/>
    <col min="252" max="252" width="30" style="6" bestFit="1" customWidth="1"/>
    <col min="253" max="253" width="12.66015625" style="6" bestFit="1" customWidth="1"/>
    <col min="254" max="16384" width="12" style="6" customWidth="1"/>
  </cols>
  <sheetData>
    <row r="1" spans="1:15" ht="21.75" customHeight="1">
      <c r="A1" s="1036" t="s">
        <v>176</v>
      </c>
      <c r="B1" s="1036"/>
      <c r="C1" s="1036"/>
      <c r="D1" s="1036"/>
      <c r="E1" s="4"/>
      <c r="F1" s="4"/>
      <c r="G1" s="4"/>
      <c r="H1" s="4"/>
      <c r="I1" s="4"/>
      <c r="J1" s="4"/>
      <c r="K1" s="4"/>
      <c r="L1" s="4"/>
      <c r="M1" s="4"/>
      <c r="N1" s="4"/>
      <c r="O1" s="4"/>
    </row>
    <row r="2" spans="1:15" ht="12.75">
      <c r="A2" s="1037">
        <f>+'INFORMACION DEL FP'!A2:D2</f>
        <v>0</v>
      </c>
      <c r="B2" s="1037"/>
      <c r="C2" s="1037"/>
      <c r="D2" s="1037"/>
      <c r="E2" s="4"/>
      <c r="F2" s="4"/>
      <c r="G2" s="4"/>
      <c r="H2" s="4"/>
      <c r="I2" s="4"/>
      <c r="J2" s="4"/>
      <c r="K2" s="4"/>
      <c r="L2" s="4"/>
      <c r="M2" s="4"/>
      <c r="N2" s="4"/>
      <c r="O2" s="4"/>
    </row>
    <row r="3" spans="1:15" ht="12.75">
      <c r="A3" s="1038"/>
      <c r="B3" s="1038"/>
      <c r="C3" s="1038"/>
      <c r="D3" s="1038"/>
      <c r="E3" s="4"/>
      <c r="F3" s="4"/>
      <c r="G3" s="4"/>
      <c r="H3" s="4"/>
      <c r="I3" s="4"/>
      <c r="J3" s="4"/>
      <c r="K3" s="4"/>
      <c r="L3" s="4"/>
      <c r="M3" s="4"/>
      <c r="N3" s="4"/>
      <c r="O3" s="4"/>
    </row>
    <row r="5" spans="1:5" s="3" customFormat="1" ht="38.25" customHeight="1">
      <c r="A5" s="380" t="s">
        <v>32</v>
      </c>
      <c r="B5" s="1039" t="str">
        <f>+'PERSONAL Y OTROS'!B6</f>
        <v>INTERVENTORÍA TÉCNICA, ADMINISTRATIVA, FINANCIERA, CONTABLE, AMBIENTAL, SOCIAL  Y  JURÍDICA PARA LA EJECUCIÓN CONDICIONAL POR FASES DEL PROYECTO "MEJORAMIENTO DEL SISTEMA DE ACUEDUCTO SEGÚN PLAN MAESTRO DEL MUNICIPIO DE RONCESVALLES" - FASE III</v>
      </c>
      <c r="C5" s="1040"/>
      <c r="D5" s="1041"/>
      <c r="E5" s="10"/>
    </row>
    <row r="6" spans="1:5" s="3" customFormat="1" ht="13.5" thickBot="1">
      <c r="A6" s="12"/>
      <c r="B6" s="7"/>
      <c r="C6" s="7"/>
      <c r="D6" s="9"/>
      <c r="E6" s="10"/>
    </row>
    <row r="7" spans="1:5" s="3" customFormat="1" ht="15.75" thickBot="1">
      <c r="A7" s="381" t="s">
        <v>110</v>
      </c>
      <c r="B7" s="382"/>
      <c r="C7" s="382"/>
      <c r="D7" s="383">
        <f>+'PERSONAL Y OTROS'!O9</f>
        <v>0</v>
      </c>
      <c r="E7" s="10"/>
    </row>
    <row r="8" spans="2:242" ht="5.25" customHeight="1">
      <c r="B8" s="5"/>
      <c r="C8" s="5"/>
      <c r="IH8" s="5"/>
    </row>
    <row r="9" spans="1:253" s="3" customFormat="1" ht="13.5">
      <c r="A9" s="82" t="s">
        <v>64</v>
      </c>
      <c r="B9" s="83"/>
      <c r="C9" s="84">
        <f>Profesional+Tecnico+NoFacturable+Calidad</f>
        <v>118628151.6048465</v>
      </c>
      <c r="D9" s="85" t="e">
        <f>+C9/$D$7</f>
        <v>#DIV/0!</v>
      </c>
      <c r="E9" s="7"/>
      <c r="IH9" s="9"/>
      <c r="IR9" s="6" t="s">
        <v>102</v>
      </c>
      <c r="IS9" s="8">
        <v>0</v>
      </c>
    </row>
    <row r="10" spans="1:253" s="3" customFormat="1" ht="5.25" customHeight="1">
      <c r="A10" s="77"/>
      <c r="B10" s="77"/>
      <c r="C10" s="86"/>
      <c r="D10" s="87"/>
      <c r="E10" s="7"/>
      <c r="IH10" s="9"/>
      <c r="IR10" s="6" t="s">
        <v>87</v>
      </c>
      <c r="IS10" s="8">
        <v>0</v>
      </c>
    </row>
    <row r="11" spans="1:253" s="3" customFormat="1" ht="13.5">
      <c r="A11" s="82" t="s">
        <v>80</v>
      </c>
      <c r="B11" s="83"/>
      <c r="C11" s="84">
        <f>Oficina</f>
        <v>6372043.4257236</v>
      </c>
      <c r="D11" s="85" t="e">
        <f>+C11/$D$7</f>
        <v>#DIV/0!</v>
      </c>
      <c r="E11" s="7"/>
      <c r="IH11" s="9"/>
      <c r="IR11" s="6" t="s">
        <v>104</v>
      </c>
      <c r="IS11" s="8">
        <v>0.38</v>
      </c>
    </row>
    <row r="12" spans="1:253" s="3" customFormat="1" ht="4.5" customHeight="1">
      <c r="A12" s="77"/>
      <c r="B12" s="77"/>
      <c r="C12" s="86"/>
      <c r="D12" s="87"/>
      <c r="IH12" s="9"/>
      <c r="IR12" s="6" t="s">
        <v>105</v>
      </c>
      <c r="IS12" s="8">
        <v>0.01</v>
      </c>
    </row>
    <row r="13" spans="1:253" s="3" customFormat="1" ht="13.5">
      <c r="A13" s="82" t="str">
        <f>+'PERSONAL Y OTROS'!A77</f>
        <v>EQUIPOS-VEHICULOS-OTROS (COSTOS DIRECTOS)</v>
      </c>
      <c r="B13" s="83"/>
      <c r="C13" s="84">
        <f>+'PERSONAL Y OTROS'!P77</f>
        <v>11766040.508449975</v>
      </c>
      <c r="D13" s="85" t="e">
        <f>+C13/$D$7</f>
        <v>#DIV/0!</v>
      </c>
      <c r="IH13" s="9"/>
      <c r="IR13" s="6" t="s">
        <v>103</v>
      </c>
      <c r="IS13" s="8">
        <v>0.015</v>
      </c>
    </row>
    <row r="14" spans="1:4" s="3" customFormat="1" ht="3.75" customHeight="1">
      <c r="A14" s="77"/>
      <c r="B14" s="77"/>
      <c r="C14" s="86"/>
      <c r="D14" s="87"/>
    </row>
    <row r="15" spans="1:4" s="3" customFormat="1" ht="13.5">
      <c r="A15" s="82" t="str">
        <f>+'PERSONAL Y OTROS'!A101</f>
        <v>ENSAYOS (COSTOS DIRECTOS)</v>
      </c>
      <c r="B15" s="83"/>
      <c r="C15" s="84">
        <f>Ensayos</f>
        <v>5233034.489094899</v>
      </c>
      <c r="D15" s="85" t="e">
        <f>+C15/$D$7</f>
        <v>#DIV/0!</v>
      </c>
    </row>
    <row r="16" spans="1:4" s="3" customFormat="1" ht="4.5" customHeight="1">
      <c r="A16" s="77"/>
      <c r="B16" s="77"/>
      <c r="C16" s="86"/>
      <c r="D16" s="85"/>
    </row>
    <row r="17" spans="1:4" s="3" customFormat="1" ht="13.5">
      <c r="A17" s="82" t="str">
        <f>'PERSONAL Y OTROS'!A87</f>
        <v>TRAMITES Y LICENCIAS (COSTOS DIRECTOS)</v>
      </c>
      <c r="B17" s="83"/>
      <c r="C17" s="84">
        <f>Tramite</f>
        <v>0</v>
      </c>
      <c r="D17" s="85" t="e">
        <f>+C17/$D$7</f>
        <v>#DIV/0!</v>
      </c>
    </row>
    <row r="18" spans="1:4" s="3" customFormat="1" ht="4.5" customHeight="1">
      <c r="A18" s="77"/>
      <c r="B18" s="77"/>
      <c r="C18" s="86"/>
      <c r="D18" s="85"/>
    </row>
    <row r="19" spans="1:5" s="3" customFormat="1" ht="13.5">
      <c r="A19" s="82" t="str">
        <f>+'PERSONAL Y OTROS'!A93</f>
        <v>GASTOS VIAJE (COSTOS DIRECTOS)</v>
      </c>
      <c r="B19" s="83"/>
      <c r="C19" s="84">
        <f>Viajes</f>
        <v>8462025</v>
      </c>
      <c r="D19" s="85" t="e">
        <f>+C19/$D$7</f>
        <v>#DIV/0!</v>
      </c>
      <c r="E19" s="7"/>
    </row>
    <row r="20" spans="1:4" s="3" customFormat="1" ht="5.25" customHeight="1">
      <c r="A20" s="77"/>
      <c r="B20" s="77"/>
      <c r="C20" s="86"/>
      <c r="D20" s="85"/>
    </row>
    <row r="21" spans="1:5" s="3" customFormat="1" ht="13.5">
      <c r="A21" s="82" t="s">
        <v>125</v>
      </c>
      <c r="B21" s="88"/>
      <c r="C21" s="84">
        <f>Campamento</f>
        <v>0</v>
      </c>
      <c r="D21" s="85" t="e">
        <f>+C21/$D$7</f>
        <v>#DIV/0!</v>
      </c>
      <c r="E21" s="7"/>
    </row>
    <row r="22" spans="1:4" s="3" customFormat="1" ht="13.5" customHeight="1">
      <c r="A22" s="77"/>
      <c r="B22" s="179">
        <v>0</v>
      </c>
      <c r="C22" s="86"/>
      <c r="D22" s="87"/>
    </row>
    <row r="23" spans="1:6" s="3" customFormat="1" ht="13.5">
      <c r="A23" s="82" t="s">
        <v>607</v>
      </c>
      <c r="B23" s="83"/>
      <c r="C23" s="84">
        <f>TotalImpuestosObra-IVASobreUtilidad</f>
        <v>81706.76323774102</v>
      </c>
      <c r="D23" s="85" t="e">
        <f>+C23/$D$7</f>
        <v>#DIV/0!</v>
      </c>
      <c r="F23" s="7"/>
    </row>
    <row r="24" spans="1:4" s="3" customFormat="1" ht="13.5" thickBot="1">
      <c r="A24" s="6"/>
      <c r="B24" s="180">
        <v>0</v>
      </c>
      <c r="C24" s="6"/>
      <c r="D24" s="10"/>
    </row>
    <row r="25" spans="1:4" s="3" customFormat="1" ht="13.5" thickBot="1">
      <c r="A25" s="11" t="s">
        <v>107</v>
      </c>
      <c r="B25" s="78" t="e">
        <f>+C25/$D$7</f>
        <v>#DIV/0!</v>
      </c>
      <c r="C25" s="81">
        <f>SUM(C9:C23)</f>
        <v>150543001.79135275</v>
      </c>
      <c r="D25" s="8" t="e">
        <f>+C25/$D$7</f>
        <v>#DIV/0!</v>
      </c>
    </row>
    <row r="26" spans="2:4" s="3" customFormat="1" ht="6" customHeight="1" thickBot="1">
      <c r="B26" s="14"/>
      <c r="C26" s="9"/>
      <c r="D26" s="10"/>
    </row>
    <row r="27" spans="1:10" s="3" customFormat="1" ht="13.5" thickBot="1">
      <c r="A27" s="11" t="s">
        <v>109</v>
      </c>
      <c r="B27" s="80">
        <v>0.03</v>
      </c>
      <c r="C27" s="15">
        <f>+B27*CostoDirectoObra</f>
        <v>0</v>
      </c>
      <c r="D27" s="8" t="e">
        <f>+C27/$D$7</f>
        <v>#DIV/0!</v>
      </c>
      <c r="F27" s="1027" t="s">
        <v>678</v>
      </c>
      <c r="G27" s="1028"/>
      <c r="H27" s="1028"/>
      <c r="I27" s="1028"/>
      <c r="J27" s="1029"/>
    </row>
    <row r="28" spans="2:10" s="3" customFormat="1" ht="3.75" customHeight="1" thickBot="1">
      <c r="B28" s="14"/>
      <c r="C28" s="9"/>
      <c r="D28" s="10"/>
      <c r="F28" s="1030"/>
      <c r="G28" s="1031"/>
      <c r="H28" s="1031"/>
      <c r="I28" s="1031"/>
      <c r="J28" s="1032"/>
    </row>
    <row r="29" spans="1:10" s="3" customFormat="1" ht="13.5" thickBot="1">
      <c r="A29" s="11" t="s">
        <v>108</v>
      </c>
      <c r="B29" s="80">
        <v>0.05</v>
      </c>
      <c r="C29" s="15">
        <f>+B29*CostoDirectoObra</f>
        <v>0</v>
      </c>
      <c r="D29" s="8" t="e">
        <f>+C29/$D$7</f>
        <v>#DIV/0!</v>
      </c>
      <c r="F29" s="1033"/>
      <c r="G29" s="1034"/>
      <c r="H29" s="1034"/>
      <c r="I29" s="1034"/>
      <c r="J29" s="1035"/>
    </row>
    <row r="30" ht="9" customHeight="1" thickBot="1"/>
    <row r="31" spans="1:4" ht="15.75" thickBot="1">
      <c r="A31" s="384" t="s">
        <v>130</v>
      </c>
      <c r="B31" s="385" t="e">
        <f>SUM(B25:B29)</f>
        <v>#DIV/0!</v>
      </c>
      <c r="C31" s="382"/>
      <c r="D31" s="386">
        <f>SUM(C25:C29)</f>
        <v>150543001.79135275</v>
      </c>
    </row>
    <row r="32" ht="5.25" customHeight="1" thickBot="1"/>
    <row r="33" spans="1:4" ht="15.75" thickBot="1">
      <c r="A33" s="1025" t="s">
        <v>256</v>
      </c>
      <c r="B33" s="1026"/>
      <c r="C33" s="1026"/>
      <c r="D33" s="386">
        <f>+D31+D7</f>
        <v>150543001.79135275</v>
      </c>
    </row>
    <row r="34" spans="1:4" ht="3.75" customHeight="1" thickBot="1">
      <c r="A34" s="3"/>
      <c r="B34" s="3"/>
      <c r="C34" s="3"/>
      <c r="D34" s="9"/>
    </row>
    <row r="35" spans="1:4" ht="15.75" thickBot="1">
      <c r="A35" s="1025" t="s">
        <v>604</v>
      </c>
      <c r="B35" s="1026"/>
      <c r="C35" s="1026"/>
      <c r="D35" s="386">
        <f>+IVASobreUtilidad</f>
        <v>0</v>
      </c>
    </row>
    <row r="36" ht="4.5" customHeight="1" thickBot="1"/>
    <row r="37" spans="1:4" ht="15.75" thickBot="1">
      <c r="A37" s="1025" t="s">
        <v>606</v>
      </c>
      <c r="B37" s="1026"/>
      <c r="C37" s="1026"/>
      <c r="D37" s="386">
        <f>+TotalContratoSinIVA+D35</f>
        <v>150543001.79135275</v>
      </c>
    </row>
    <row r="40" spans="1:4" ht="12.75">
      <c r="A40" s="13" t="s">
        <v>628</v>
      </c>
      <c r="B40" s="46"/>
      <c r="C40" s="47" t="str">
        <f>'INFORMACION DEL FP'!C30</f>
        <v>DLOPEZ</v>
      </c>
      <c r="D40" s="48"/>
    </row>
  </sheetData>
  <sheetProtection/>
  <mergeCells count="8">
    <mergeCell ref="A37:C37"/>
    <mergeCell ref="F27:J29"/>
    <mergeCell ref="A1:D1"/>
    <mergeCell ref="A2:D2"/>
    <mergeCell ref="A3:D3"/>
    <mergeCell ref="B5:D5"/>
    <mergeCell ref="A35:C35"/>
    <mergeCell ref="A33:C33"/>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r:id="rId1"/>
  <headerFooter alignWithMargins="0">
    <oddHeader>&amp;CAnálisis de Costos - Área de Estudios Previos</oddHeader>
    <oddFooter>&amp;L16/02/2010&amp;R0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anarvaez</dc:creator>
  <cp:keywords/>
  <dc:description/>
  <cp:lastModifiedBy>GIOVANNY GOMEZ HENAO</cp:lastModifiedBy>
  <cp:lastPrinted>2015-06-25T21:42:40Z</cp:lastPrinted>
  <dcterms:created xsi:type="dcterms:W3CDTF">2004-09-24T20:30:56Z</dcterms:created>
  <dcterms:modified xsi:type="dcterms:W3CDTF">2015-12-16T21:53:50Z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filetime>2007-03-22T05:00:00Z</vt:filetime>
  </property>
  <property fmtid="{D5CDD505-2E9C-101B-9397-08002B2CF9AE}" pid="3" name="_dlc_DocId">
    <vt:lpwstr>K5ZKFRP4R23U-10-47312</vt:lpwstr>
  </property>
  <property fmtid="{D5CDD505-2E9C-101B-9397-08002B2CF9AE}" pid="4" name="_dlc_DocIdItemGuid">
    <vt:lpwstr>cfb48b2b-ea5d-4bad-926a-6f142c5ee3a8</vt:lpwstr>
  </property>
  <property fmtid="{D5CDD505-2E9C-101B-9397-08002B2CF9AE}" pid="5" name="_dlc_DocIdUrl">
    <vt:lpwstr>http://www.fonade.gov.co/subg/subContratacion/EstudiosPrevios/_layouts/DocIdRedir.aspx?ID=K5ZKFRP4R23U-10-47312, K5ZKFRP4R23U-10-47312</vt:lpwstr>
  </property>
</Properties>
</file>