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defaultThemeVersion="166925"/>
  <mc:AlternateContent xmlns:mc="http://schemas.openxmlformats.org/markup-compatibility/2006">
    <mc:Choice Requires="x15">
      <x15ac:absPath xmlns:x15ac="http://schemas.microsoft.com/office/spreadsheetml/2010/11/ac" url="/Users/laura/Dropbox/00-LAURA D/21_FINDETER/07-ICBF CENTRO CRECER/02-EP DOTACION ICBF/02-ANEXO 4 PRESUPUESTO/"/>
    </mc:Choice>
  </mc:AlternateContent>
  <xr:revisionPtr revIDLastSave="0" documentId="13_ncr:1_{05916174-8470-5247-A020-9E9B8B2D14A7}" xr6:coauthVersionLast="36" xr6:coauthVersionMax="47" xr10:uidLastSave="{00000000-0000-0000-0000-000000000000}"/>
  <bookViews>
    <workbookView xWindow="880" yWindow="500" windowWidth="27920" windowHeight="16380" activeTab="5" xr2:uid="{00000000-000D-0000-FFFF-FFFF00000000}"/>
  </bookViews>
  <sheets>
    <sheet name="plazoleta ELV" sheetId="5" state="hidden" r:id="rId1"/>
    <sheet name="parqueadero ELV" sheetId="4" state="hidden" r:id="rId2"/>
    <sheet name="REV ELV" sheetId="3" state="hidden" r:id="rId3"/>
    <sheet name="Hoja1 luz" sheetId="1" state="hidden" r:id="rId4"/>
    <sheet name="Hoja2" sheetId="2" state="hidden" r:id="rId5"/>
    <sheet name="FORMATO 4 OBRA" sheetId="6" r:id="rId6"/>
    <sheet name="FORMAT 4 INTERV." sheetId="7" state="hidden" r:id="rId7"/>
    <sheet name="Hoja1" sheetId="8" state="hidden" r:id="rId8"/>
  </sheets>
  <definedNames>
    <definedName name="_xlnm.Print_Area" localSheetId="5">'FORMATO 4 OBRA'!$A$1:$H$53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8" l="1"/>
  <c r="D18" i="8"/>
  <c r="C18" i="8"/>
  <c r="F17" i="8"/>
  <c r="F16" i="8"/>
  <c r="F18" i="8" s="1"/>
  <c r="B10" i="8" l="1"/>
  <c r="B4" i="8"/>
  <c r="J14" i="5" l="1"/>
  <c r="G46" i="3" l="1"/>
  <c r="J13" i="5"/>
  <c r="K13" i="5" s="1"/>
  <c r="G41" i="3"/>
  <c r="G45" i="3" l="1"/>
  <c r="G42" i="3"/>
  <c r="G43" i="3"/>
  <c r="G44" i="3"/>
  <c r="G47" i="3"/>
  <c r="J32" i="4" l="1"/>
  <c r="H49" i="4"/>
  <c r="H48" i="4"/>
  <c r="I7" i="5" l="1"/>
  <c r="J15" i="5" l="1"/>
  <c r="H15" i="5"/>
  <c r="F6" i="5"/>
  <c r="G40" i="3" l="1"/>
  <c r="G57" i="3" s="1"/>
  <c r="I17" i="4" l="1"/>
  <c r="G12" i="4" l="1"/>
  <c r="J6" i="5" l="1"/>
  <c r="F7" i="5"/>
  <c r="G44" i="1" l="1"/>
  <c r="J7" i="5" l="1"/>
  <c r="I8" i="5"/>
  <c r="J8" i="5" s="1"/>
  <c r="I5" i="5"/>
  <c r="J5" i="5" s="1"/>
  <c r="I10" i="5"/>
  <c r="J10" i="5" s="1"/>
  <c r="I12" i="5"/>
  <c r="J12" i="5" s="1"/>
  <c r="J17" i="4"/>
  <c r="I34" i="4"/>
  <c r="I18" i="4"/>
  <c r="J18" i="4" s="1"/>
  <c r="I29" i="4"/>
  <c r="J29" i="4" s="1"/>
  <c r="I12" i="4"/>
  <c r="J12" i="4" s="1"/>
  <c r="H34" i="4"/>
  <c r="F22" i="4" l="1"/>
  <c r="V2" i="4" l="1"/>
  <c r="V1" i="4"/>
  <c r="V5" i="4" s="1"/>
  <c r="N6" i="4"/>
  <c r="N2" i="4"/>
  <c r="N4" i="4" s="1"/>
  <c r="F19" i="4" l="1"/>
  <c r="F20" i="4"/>
  <c r="G1" i="4"/>
  <c r="G3" i="4"/>
  <c r="G6" i="4" s="1"/>
  <c r="G2" i="4"/>
  <c r="F14" i="4" l="1"/>
  <c r="F13" i="4"/>
  <c r="H12" i="5"/>
  <c r="H10" i="5"/>
  <c r="H9" i="5"/>
  <c r="H5" i="5"/>
  <c r="H8" i="5"/>
  <c r="H7" i="5"/>
  <c r="G33" i="4" l="1"/>
  <c r="G31" i="4"/>
  <c r="I31" i="4" s="1"/>
  <c r="J31" i="4" s="1"/>
  <c r="E33" i="4"/>
  <c r="G30" i="4"/>
  <c r="I30" i="4" s="1"/>
  <c r="J30" i="4" s="1"/>
  <c r="G28" i="4"/>
  <c r="G27" i="4"/>
  <c r="G11" i="5" s="1"/>
  <c r="G26" i="4"/>
  <c r="I26" i="4" s="1"/>
  <c r="J26" i="4" s="1"/>
  <c r="G25" i="4"/>
  <c r="I25" i="4" s="1"/>
  <c r="J25" i="4" s="1"/>
  <c r="G24" i="4"/>
  <c r="I24" i="4" s="1"/>
  <c r="G23" i="4"/>
  <c r="I23" i="4" s="1"/>
  <c r="J23" i="4" s="1"/>
  <c r="G22" i="4"/>
  <c r="I22" i="4" s="1"/>
  <c r="J22" i="4" s="1"/>
  <c r="G13" i="4"/>
  <c r="J13" i="4" s="1"/>
  <c r="G19" i="4"/>
  <c r="I19" i="4" s="1"/>
  <c r="J19" i="4" s="1"/>
  <c r="J24" i="4" l="1"/>
  <c r="I9" i="5"/>
  <c r="J9" i="5" s="1"/>
  <c r="I11" i="5"/>
  <c r="J11" i="5" s="1"/>
  <c r="J18" i="5" s="1"/>
  <c r="K18" i="5" s="1"/>
  <c r="H11" i="5"/>
  <c r="H18" i="5" s="1"/>
  <c r="H20" i="5" s="1"/>
  <c r="H28" i="4"/>
  <c r="I28" i="4"/>
  <c r="J28" i="4" s="1"/>
  <c r="H33" i="4"/>
  <c r="I33" i="4"/>
  <c r="J33" i="4" s="1"/>
  <c r="H27" i="4"/>
  <c r="I27" i="4"/>
  <c r="J27" i="4" s="1"/>
  <c r="H22" i="4"/>
  <c r="H21" i="5" l="1"/>
  <c r="H22" i="5"/>
  <c r="J20" i="5"/>
  <c r="J22" i="5"/>
  <c r="J23" i="5" s="1"/>
  <c r="J21" i="5"/>
  <c r="G21" i="4"/>
  <c r="I21" i="4" s="1"/>
  <c r="J21" i="4" s="1"/>
  <c r="H23" i="5" l="1"/>
  <c r="H19" i="5" s="1"/>
  <c r="H25" i="5" s="1"/>
  <c r="J19" i="5"/>
  <c r="J25" i="5" s="1"/>
  <c r="H24" i="4"/>
  <c r="H21" i="4" l="1"/>
  <c r="G14" i="4"/>
  <c r="G20" i="4"/>
  <c r="G16" i="4"/>
  <c r="G15" i="4"/>
  <c r="H31" i="4"/>
  <c r="H30" i="4"/>
  <c r="H29" i="4"/>
  <c r="H26" i="4"/>
  <c r="H25" i="4"/>
  <c r="H23" i="4"/>
  <c r="H13" i="4"/>
  <c r="H19" i="4"/>
  <c r="H18" i="4"/>
  <c r="H12" i="4"/>
  <c r="H16" i="4" l="1"/>
  <c r="I16" i="4"/>
  <c r="J16" i="4" s="1"/>
  <c r="H15" i="4"/>
  <c r="I15" i="4"/>
  <c r="J15" i="4" s="1"/>
  <c r="H20" i="4"/>
  <c r="I20" i="4"/>
  <c r="J20" i="4" s="1"/>
  <c r="H14" i="4"/>
  <c r="J14" i="4"/>
  <c r="F13" i="2"/>
  <c r="G13" i="2" s="1"/>
  <c r="F12" i="2"/>
  <c r="G12" i="2" s="1"/>
  <c r="F11" i="2"/>
  <c r="G11" i="2" s="1"/>
  <c r="M26" i="2"/>
  <c r="J25" i="2"/>
  <c r="L24" i="2"/>
  <c r="L26" i="2" s="1"/>
  <c r="G23" i="2"/>
  <c r="H36" i="4" l="1"/>
  <c r="H40" i="4" s="1"/>
  <c r="H41" i="4" s="1"/>
  <c r="J36" i="4"/>
  <c r="K36" i="4" s="1"/>
  <c r="G10" i="2"/>
  <c r="D28" i="2"/>
  <c r="H39" i="4" l="1"/>
  <c r="H38" i="4"/>
  <c r="F48" i="4"/>
  <c r="J39" i="4"/>
  <c r="J40" i="4"/>
  <c r="J41" i="4" s="1"/>
  <c r="J38" i="4"/>
  <c r="G18" i="2"/>
  <c r="G19" i="2" s="1"/>
  <c r="G17" i="2"/>
  <c r="G16" i="2"/>
  <c r="H37" i="4" l="1"/>
  <c r="H43" i="4" s="1"/>
  <c r="J37" i="4"/>
  <c r="J43" i="4" s="1"/>
  <c r="G15" i="2"/>
  <c r="G20" i="2" s="1"/>
  <c r="D29" i="2"/>
  <c r="D30" i="2" s="1"/>
  <c r="G25" i="2"/>
  <c r="J28" i="2" l="1"/>
  <c r="L28" i="2" s="1"/>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ELIECER LADINO VILLADA</author>
  </authors>
  <commentList>
    <comment ref="E13" authorId="0" shapeId="0" xr:uid="{00000000-0006-0000-0100-000001000000}">
      <text>
        <r>
          <rPr>
            <b/>
            <sz val="9"/>
            <color indexed="81"/>
            <rFont val="Tahoma"/>
            <family val="2"/>
          </rPr>
          <t>ELIECER LADINO VILLADA:</t>
        </r>
        <r>
          <rPr>
            <sz val="9"/>
            <color indexed="81"/>
            <rFont val="Tahoma"/>
            <family val="2"/>
          </rPr>
          <t xml:space="preserve">
excavando 0,5 m en el area me daría 835 m3 en banco, por lo que con el factor se me convierten en 1086 m3
</t>
        </r>
      </text>
    </comment>
    <comment ref="F14" authorId="0" shapeId="0" xr:uid="{00000000-0006-0000-0100-000002000000}">
      <text>
        <r>
          <rPr>
            <b/>
            <sz val="9"/>
            <color indexed="81"/>
            <rFont val="Tahoma"/>
            <family val="2"/>
          </rPr>
          <t>ELIECER LADINO VILLADA:</t>
        </r>
        <r>
          <rPr>
            <sz val="9"/>
            <color indexed="81"/>
            <rFont val="Tahoma"/>
            <family val="2"/>
          </rPr>
          <t xml:space="preserve">
TENER EN CUENTA LOS 90 M2 DE LA BAHÍA</t>
        </r>
      </text>
    </comment>
    <comment ref="F19" authorId="0" shapeId="0" xr:uid="{00000000-0006-0000-0100-000003000000}">
      <text>
        <r>
          <rPr>
            <b/>
            <sz val="9"/>
            <color indexed="81"/>
            <rFont val="Tahoma"/>
            <family val="2"/>
          </rPr>
          <t>ELIECER LADINO VILLADA:</t>
        </r>
        <r>
          <rPr>
            <sz val="9"/>
            <color indexed="81"/>
            <rFont val="Tahoma"/>
            <family val="2"/>
          </rPr>
          <t xml:space="preserve">
corroborar con Luz Marina</t>
        </r>
      </text>
    </comment>
    <comment ref="E20" authorId="0" shapeId="0" xr:uid="{00000000-0006-0000-0100-000004000000}">
      <text>
        <r>
          <rPr>
            <b/>
            <sz val="9"/>
            <color indexed="81"/>
            <rFont val="Tahoma"/>
            <family val="2"/>
          </rPr>
          <t>ELIECER LADINO VILLADA:</t>
        </r>
        <r>
          <rPr>
            <sz val="9"/>
            <color indexed="81"/>
            <rFont val="Tahoma"/>
            <family val="2"/>
          </rPr>
          <t xml:space="preserve">
corresponde al area del gramoquin</t>
        </r>
      </text>
    </comment>
    <comment ref="F22" authorId="0" shapeId="0" xr:uid="{00000000-0006-0000-0100-000005000000}">
      <text>
        <r>
          <rPr>
            <b/>
            <sz val="9"/>
            <color indexed="81"/>
            <rFont val="Tahoma"/>
            <family val="2"/>
          </rPr>
          <t>ELIECER LADINO VILLADA:</t>
        </r>
        <r>
          <rPr>
            <sz val="9"/>
            <color indexed="81"/>
            <rFont val="Tahoma"/>
            <family val="2"/>
          </rPr>
          <t xml:space="preserve">
INCLUYE ZONA PARQUEO VIA ACCESO</t>
        </r>
      </text>
    </comment>
    <comment ref="E23" authorId="0" shapeId="0" xr:uid="{00000000-0006-0000-0100-000006000000}">
      <text>
        <r>
          <rPr>
            <b/>
            <sz val="9"/>
            <color indexed="81"/>
            <rFont val="Tahoma"/>
            <family val="2"/>
          </rPr>
          <t>ELIECER LADINO VILLADA:</t>
        </r>
        <r>
          <rPr>
            <sz val="9"/>
            <color indexed="81"/>
            <rFont val="Tahoma"/>
            <family val="2"/>
          </rPr>
          <t xml:space="preserve">
2 pompeyanos c/u de 4*4</t>
        </r>
      </text>
    </comment>
    <comment ref="F23" authorId="0" shapeId="0" xr:uid="{00000000-0006-0000-0100-000007000000}">
      <text>
        <r>
          <rPr>
            <b/>
            <sz val="9"/>
            <color indexed="81"/>
            <rFont val="Tahoma"/>
            <family val="2"/>
          </rPr>
          <t>ELIECER LADINO VILLADA:</t>
        </r>
        <r>
          <rPr>
            <sz val="9"/>
            <color indexed="81"/>
            <rFont val="Tahoma"/>
            <family val="2"/>
          </rPr>
          <t xml:space="preserve">
revisar con Luz</t>
        </r>
      </text>
    </comment>
    <comment ref="F25" authorId="0" shapeId="0" xr:uid="{00000000-0006-0000-0100-000008000000}">
      <text>
        <r>
          <rPr>
            <b/>
            <sz val="9"/>
            <color indexed="81"/>
            <rFont val="Tahoma"/>
            <family val="2"/>
          </rPr>
          <t>ELIECER LADINO VILLADA:</t>
        </r>
        <r>
          <rPr>
            <sz val="9"/>
            <color indexed="81"/>
            <rFont val="Tahoma"/>
            <family val="2"/>
          </rPr>
          <t xml:space="preserve">
la distancia maxima Findeter</t>
        </r>
      </text>
    </comment>
    <comment ref="E30" authorId="0" shapeId="0" xr:uid="{00000000-0006-0000-0100-000009000000}">
      <text>
        <r>
          <rPr>
            <b/>
            <sz val="9"/>
            <color indexed="81"/>
            <rFont val="Tahoma"/>
            <family val="2"/>
          </rPr>
          <t>ELIECER LADINO VILLADA:</t>
        </r>
        <r>
          <rPr>
            <sz val="9"/>
            <color indexed="81"/>
            <rFont val="Tahoma"/>
            <family val="2"/>
          </rPr>
          <t xml:space="preserve">
Para los 41 parqueaderos</t>
        </r>
      </text>
    </comment>
  </commentList>
</comments>
</file>

<file path=xl/sharedStrings.xml><?xml version="1.0" encoding="utf-8"?>
<sst xmlns="http://schemas.openxmlformats.org/spreadsheetml/2006/main" count="566" uniqueCount="279">
  <si>
    <t>PRESUPUESTO FASE 4 COLEGIO RODRIGO LARA BONILLA</t>
  </si>
  <si>
    <t>ÍTEM</t>
  </si>
  <si>
    <t>DESCRIPCIÓN</t>
  </si>
  <si>
    <t>UND</t>
  </si>
  <si>
    <t>Cantidad inicial</t>
  </si>
  <si>
    <t>Cantidad según planos</t>
  </si>
  <si>
    <t>VR. UNITARIO
Inicial</t>
  </si>
  <si>
    <t>VR. TOTAL
Inicial</t>
  </si>
  <si>
    <t>VR.UNITARIO 
2021
INCREMENTO CON IPC</t>
  </si>
  <si>
    <t>VR. TOTAL
2021</t>
  </si>
  <si>
    <t>M2</t>
  </si>
  <si>
    <t>REPLANTEO Y LOCALIZACIÓN TOPOGRAFICA</t>
  </si>
  <si>
    <t>EXCAVACIÓN MANUAL, NIVELACIÓN Y COMPACTACIÓN CON MATERIAL DE SUBBASE</t>
  </si>
  <si>
    <t>M3</t>
  </si>
  <si>
    <t>H: aprox. 0,15 cm</t>
  </si>
  <si>
    <t>ACCESO ESTUDIANTES CIRCULACIÓN CONCRETO ESCOBIADO E=0,15M INCLUYE ACERO DE REFUERZO Y DILATACIÓN</t>
  </si>
  <si>
    <t>PUERTA ACCESO PEATONAL</t>
  </si>
  <si>
    <t>UN</t>
  </si>
  <si>
    <t>ILUMINACION ZONA DE ACCESO INCLUYE POSTES (CON BASE), LUMINARIAS Y RED DE CONEXIÓN</t>
  </si>
  <si>
    <t>CONTENEDOR DE RAICES</t>
  </si>
  <si>
    <t>CAJAS DE INSPECCIÓN 100*100</t>
  </si>
  <si>
    <t>ARBOLES ORNAMENTALES</t>
  </si>
  <si>
    <t>MOBILIARIO (CANECAS)</t>
  </si>
  <si>
    <t>MOBILIARIO (BANCA)</t>
  </si>
  <si>
    <t>ML</t>
  </si>
  <si>
    <t>ASEO Y LIMPIEZA</t>
  </si>
  <si>
    <t>GL</t>
  </si>
  <si>
    <t>PRECIO UNITARIO</t>
  </si>
  <si>
    <t>VALOR TOTAL COSTOS DIRECTOS</t>
  </si>
  <si>
    <t>VALOR TOTAL COSTOS INDIRECTOS</t>
  </si>
  <si>
    <t>ADMINISTRACIÓN</t>
  </si>
  <si>
    <t>IMPREVISTOS</t>
  </si>
  <si>
    <t>UTILIDAD</t>
  </si>
  <si>
    <t>IVA 19% SOBRE UTILIDAD</t>
  </si>
  <si>
    <t>Longitud cerramiento (m)</t>
  </si>
  <si>
    <t>vigas de confinamiento</t>
  </si>
  <si>
    <t>(a lo largo)</t>
  </si>
  <si>
    <t>Area zonas verdes</t>
  </si>
  <si>
    <t>sardinel</t>
  </si>
  <si>
    <t>ancho</t>
  </si>
  <si>
    <t>Area efectiva parqueaderos</t>
  </si>
  <si>
    <t>Area de acceso o salida parqueaderos</t>
  </si>
  <si>
    <t>linea exterior parqueadero</t>
  </si>
  <si>
    <t>Area de anden en parqueaderos</t>
  </si>
  <si>
    <t>linea interiro sin parqueo</t>
  </si>
  <si>
    <t>area concreto acceso</t>
  </si>
  <si>
    <t>viga perimetral zona parqueaderos</t>
  </si>
  <si>
    <t>AREA BAHIA</t>
  </si>
  <si>
    <t>PRESUPUESTO FASE 4 COLEGIO RODRIGO LARA BONILLA-PARQUEADERO</t>
  </si>
  <si>
    <t>GOB RDA</t>
  </si>
  <si>
    <t>CANTIDAD
INICIAL</t>
  </si>
  <si>
    <t>Cantidades Medidas en Planos</t>
  </si>
  <si>
    <t>VR. TOTAL 
2021</t>
  </si>
  <si>
    <t>OBSERVACIONES Y/O ACLARACIONES</t>
  </si>
  <si>
    <t>VERIFICACIÓN DE CANTIDADES</t>
  </si>
  <si>
    <t xml:space="preserve">
Lista oficial de precios unitarios fijos de Obra Pública y de ...www.datos.gov.co </t>
  </si>
  <si>
    <t>LOCALIZACIÓN, REPLANTEO Y NIVELACIÓN TOPOGRAFICA</t>
  </si>
  <si>
    <t>54% CORRESPONDE A ESPACIO PUBLICO</t>
  </si>
  <si>
    <t>RDA</t>
  </si>
  <si>
    <t>el valor Anotado de $4,371 lo traje de los precios Findeter de otro proyecto</t>
  </si>
  <si>
    <t>EXCAVACIÓN MECANICA PARQUEADERO INCLUYE CARGUE, TRANSPORTE, Y DISPOSICIÓN FINAL (H =0,50 M)</t>
  </si>
  <si>
    <t xml:space="preserve">IDU </t>
  </si>
  <si>
    <t>INVIAS</t>
  </si>
  <si>
    <t>$14200 m3,  botando a 1 Km. Si lo boto a 5 Km me cuesta $21.150</t>
  </si>
  <si>
    <t>SUBBASE GRANULAR COMPACTADA PARQUEADERO 0,35 M</t>
  </si>
  <si>
    <t>A COMO EL MATERIAL Y DISTANCIA DE ACARREO (RDA M3 A 56000)</t>
  </si>
  <si>
    <t>invias a $ 81,000 a 1 Km, a 8Km saldría a $93,150</t>
  </si>
  <si>
    <t>GRAMOQUIN PARQUEADERO GENERAL COLEGIO INCLUYE TODOS LOS INSUMOS PARA SU INSTALACIÓN ARENA DE NIVELACIÓN Y ARENA DE SELLO</t>
  </si>
  <si>
    <t>Se realizó ajuste de 600 a 525 reduciendo preescolar y bloque A</t>
  </si>
  <si>
    <t>CALI 2016</t>
  </si>
  <si>
    <t>ADOQUIN CONCRETO ECOLÓGICO -GRAMOQUIN</t>
  </si>
  <si>
    <t>idu a 62,000</t>
  </si>
  <si>
    <t>ADOQUIN VEHICULAR DE 0,2*0,1*0,06 EN CONCRETO PARA EL PARQUEADERO DEL COLEGIO, INCLUYE TODOS LOS INSUMOS PARA SU INSTALACIÓN, INCLUYE ARENA DE NIVELACIÓN Y ARENA DE SELLO</t>
  </si>
  <si>
    <t>ADOQUIN VEHICULAR EN CONCRETO</t>
  </si>
  <si>
    <t>idu a 60,100</t>
  </si>
  <si>
    <t>3.1.</t>
  </si>
  <si>
    <t xml:space="preserve">ANDEN PEATONAL CONCRETO ESCOBIADO E=0,15M INCLUYE ACERO DE REFUERZO </t>
  </si>
  <si>
    <t>PUERTA ACCESO PARQUEADERO METALICA  ACCESO PARQUEADERO VEHICULAR IGUAL A LA EXISTENTE DE 6,00 * 3,00 MTS FABRICADA EN TUBO REDONDO AN 3 MM DE ESPESOR, 4" DIAMETRO Y VERTICALES EN TUBERIA RECTANGULAR DE 22 * 1 " CALIBRE 18  GUIA EN ANGULO DE 1 1/2" *3/16" Y PINTADA EN ANTICORROSIVO Y ESMALTE ROJO</t>
  </si>
  <si>
    <t>NO TENGO CONTRA QUE COMPARAR</t>
  </si>
  <si>
    <t xml:space="preserve">CAÑUELA DESAGUE EN CONCRETO DE 20,7 MPA INCLUYE TODOS LOS INSUMOS PARA SU INSTALACIÓN </t>
  </si>
  <si>
    <t>CAÑUELA PREFABRICADA A 120</t>
  </si>
  <si>
    <t>IDU</t>
  </si>
  <si>
    <t>SUMINISTRO E INSTALACIÓN DE TIERRA ABONADA Y SEMILLA DE GRAMA ZONA DE GRAMOQUIN</t>
  </si>
  <si>
    <t>EMPRADIZACIÓN CON PRDO TRENZA</t>
  </si>
  <si>
    <t>SARDINEL PREFABRICADO EN CONCRETO, INCLUYE LA PREPARACIÓN DE LA SUPERFICIE DE APOYO</t>
  </si>
  <si>
    <t>CONCRETO ACCESO PARQUEADERO MR = 4.1MPA - ZONA DE DESACELERACIÓN ESPESOR 0,15 M; INCLUYE MALLA ELECTROSOLDADA</t>
  </si>
  <si>
    <t>LOS CONCRETOS GENERALMENTE SE PAGAN POR M3, EL PRECIO ESTA POR ENCIMA DEL PROMEDIO</t>
  </si>
  <si>
    <t>POMPEYANO EN CONCRETO EN ACCESO PARQUEADERO ZONA DE DESACELERCIÓN, INCLUYE DOBLE MALLA ELECTROSOLDADA. 2 UNIDADES DE DIMENSIONES DE 4*4</t>
  </si>
  <si>
    <t>estaría acorde y que la diferencia es que tiene doble malla</t>
  </si>
  <si>
    <t>ILUMINACION PARQUEADEROS INCLUYE LUMINARIAS Y POSTES DE H= 4 M</t>
  </si>
  <si>
    <t>INCLUYE DISEÑO Y TRÁMITE DE CERTIFICACIONES COMO RETIE Y RETILAP</t>
  </si>
  <si>
    <t>????</t>
  </si>
  <si>
    <t>INSTALACIÓN DE ACOMETIDA ELECTRICA PARQUEADEROS</t>
  </si>
  <si>
    <t xml:space="preserve">SUMINISTRO E INSTALACIÓN DE DESAGUES PARQUEADERO TUBERIA PVC 8" PARED ESTRUCTURAL </t>
  </si>
  <si>
    <t>el costo lo representa el M de tubo</t>
  </si>
  <si>
    <t>IDU depoendiendo del RDE el costo varía desde  $57,000 ml hasta $102,000</t>
  </si>
  <si>
    <t>CAJA DE INSPECCIÓN DE 1,00x1,00x1,00m, EN CONCRETO DE 17,2MPA; TAPA REFORZADA EN CONCRETO DE 20,7 MPA, PARA AGUAS LLUVIAS</t>
  </si>
  <si>
    <t>FINDETER SIN TAPA $297,000</t>
  </si>
  <si>
    <t>SUMINISTRO E INSTALACIÓN DE ARENA PARA TAPE-TUBERÍA</t>
  </si>
  <si>
    <t>ESTA OK</t>
  </si>
  <si>
    <t>CARCAMO PREFABRICADO EN CONCRETO PARQUEADERO  35*40*100, INCLUYE REJILLA EN CONCRETO INCLUYE EXCAVACIÓN</t>
  </si>
  <si>
    <t>SE REQUIERE LA ESPECIFICACIÓN (TIPO FOTO)</t>
  </si>
  <si>
    <t>TOPELLANTAS EN CONCRETO DE 0,15*0,15*0,40</t>
  </si>
  <si>
    <t>CERRAMIENTO PERIMETRAL CON VIGA CORRIDA DE 0,20*0,40 Y ZAPATAS, INCLUYE ORNAMENTACIÓN</t>
  </si>
  <si>
    <t>LAMINA MICROPERFORADA CERRAMIENTO</t>
  </si>
  <si>
    <t>VIGAS DE CONFINAMIENTO (ZONA DE GRAMOQUIN Y ADOQUIN)</t>
  </si>
  <si>
    <t>PAISAJISMO-ZONAS VERDES</t>
  </si>
  <si>
    <t>CANTIDAD</t>
  </si>
  <si>
    <t>VR. UNITARIO</t>
  </si>
  <si>
    <t>VR. TOTAL</t>
  </si>
  <si>
    <t>PARQUEADERO</t>
  </si>
  <si>
    <t>ESPACIO PÚBLICO</t>
  </si>
  <si>
    <t>MEJORAMIENTO</t>
  </si>
  <si>
    <t>PARQUEADERO GENERAL GRAMOQUIN</t>
  </si>
  <si>
    <t>CALI</t>
  </si>
  <si>
    <t>PARQUEADERO GENERAL COLEGIO ADOQUIN VEHICULAR EN CONCRETO</t>
  </si>
  <si>
    <t>PLAZOLETA ACCESO ESTUDIANTES ADOQUIN PEATONAL</t>
  </si>
  <si>
    <t>PUERTA ACCESO PARQUEADERO</t>
  </si>
  <si>
    <t>PERSIANA ADICIONAL CULATAS AULA MULTIPLE</t>
  </si>
  <si>
    <t>REJA METALICA SOBRE MURO DE CONTENCIÓN PREESOLAR COCINA</t>
  </si>
  <si>
    <t>DESMONTE LAMPARAS EXISTENTE CONTRA RAMPA EXISTENTE</t>
  </si>
  <si>
    <t>PASAMANOS SEGUNDO Y TERCER PISO ZONA A</t>
  </si>
  <si>
    <t>REJA ZONA CILINDROS DE GAS Y CUBIERTA</t>
  </si>
  <si>
    <t xml:space="preserve">CAÑUELA DESAGUE </t>
  </si>
  <si>
    <t>CAÑUELA EN CONCRETO DE 20,7 Mpa E=0,10: H=0,40 A= 0,30 M SIN TAPA</t>
  </si>
  <si>
    <t>TIERRA ABONADA Y SEMILLA DE GRAMA</t>
  </si>
  <si>
    <t>EL MERO SUMINISTRO E INSTALACIÓN SUPERA LOS 52800 M3</t>
  </si>
  <si>
    <t>EXCAVACIÓN MECANICA PARQUEADERO</t>
  </si>
  <si>
    <t>INCLUYE DISPOSICIÓN</t>
  </si>
  <si>
    <t>RELLENO SUBBASE GRANULAR PARQUEADERO</t>
  </si>
  <si>
    <t>REPLANTEO Y NIVELACIÓN TOPOGRAFICA</t>
  </si>
  <si>
    <t>SARDINEL EN CONCRETO</t>
  </si>
  <si>
    <t xml:space="preserve">SARDINEL EN CONCRETO DE 20,7 Mpa  0,03 M3/ML </t>
  </si>
  <si>
    <t>VIGA DE CONFINAMIENTO ADOQUINES</t>
  </si>
  <si>
    <t>CONCRETO ACCESO PARQUEADERO</t>
  </si>
  <si>
    <t>POMPEYANO EN ACCESO PARQUEADERO</t>
  </si>
  <si>
    <t>CONCEPTO SUELISTA LABORATORIO PARQUEADERO</t>
  </si>
  <si>
    <t>GB</t>
  </si>
  <si>
    <t>DISEÑO ELECTRICO ILUMINACIÓN PARQUEADEROS</t>
  </si>
  <si>
    <t>ILUMINACION PARQUEADEROS POSTES LUMINARIAS</t>
  </si>
  <si>
    <t>ACOMETIDA ELECTRICA PARQUEADEROS</t>
  </si>
  <si>
    <t>DESAGUES PARQUEADERO TUBERIA 8"</t>
  </si>
  <si>
    <t>CERTIFICADO RETILAP</t>
  </si>
  <si>
    <t>ARENA TAPE TUBERÍA</t>
  </si>
  <si>
    <t>CARCAMO PARQUEADERO</t>
  </si>
  <si>
    <t>TOPELLANTAS EN CONCRETO</t>
  </si>
  <si>
    <t xml:space="preserve">PINTURA  PARA EXTERIORES TIPO KORAZA O EQUIVALENTE TRES MANOS </t>
  </si>
  <si>
    <t>INCLUYE RESANES EN MUROS, DILATACIONES, REPARACIONES, SUMINISTRO Y EJECUCIÓN SEGÚN COLORES DEL COLEGIO</t>
  </si>
  <si>
    <t xml:space="preserve">PINTURA ACRILICA TIPO KORAZA O EQUIVALENTE - MUROS A 3 MANOS </t>
  </si>
  <si>
    <t>CERRAMIENTO</t>
  </si>
  <si>
    <t>ELECTRICIDAD AULA TERCER PISO</t>
  </si>
  <si>
    <t>GRAMOQUIN BLOQUE A</t>
  </si>
  <si>
    <t xml:space="preserve">DESMONTE SUPERBOARD COLUMNA COSTADO NORTE ZONA A </t>
  </si>
  <si>
    <t>DESMONTE DE BEBEDEROS</t>
  </si>
  <si>
    <t>SUMINISTRO E INSTALACIÓN DE MAMPOSTERIA H:2 M</t>
  </si>
  <si>
    <t xml:space="preserve">PAÑETE </t>
  </si>
  <si>
    <t>PINTURA</t>
  </si>
  <si>
    <t>GUARDAESCOBAS</t>
  </si>
  <si>
    <t>INSTALACIÓN DE BEBEDEROS</t>
  </si>
  <si>
    <t>SUMINISTRO E INSTALACIÓN BARANDAS FALTANTES</t>
  </si>
  <si>
    <t>ÁREA</t>
  </si>
  <si>
    <t>VR./M2</t>
  </si>
  <si>
    <t>PARQUEADERO GENERAL COLEGIO ADOQUIN VEHICULAR</t>
  </si>
  <si>
    <t>DESMONTE SUPERBOARD COLUMNA COSTADO NORTE ZONA A</t>
  </si>
  <si>
    <t xml:space="preserve">RECUBRIMIENTO DE COLUMNA EN MAMPOSTERÍA </t>
  </si>
  <si>
    <t>1. ETAPA I. REVISIÓN, AJUSTE Y COMLEMENTACIÓN DE LA CONSTRUCCIÓN Y PUESTA EN FUNCIONAMIENTO DE LOS PARQUEADEROS, ESPACIO PÚBLICO Y MEJORAMIENTO DEL COLEGIO RODRIGO LARA BONILLA, EN EL MUNICIPIO DE NEIVA, DEPARTAMENTO DE HUILA</t>
  </si>
  <si>
    <t>DESCRIPCIÓN 
(Corresponde a los ítems o productos relacionados en el contrato)</t>
  </si>
  <si>
    <t>UNIDAD</t>
  </si>
  <si>
    <t>A</t>
  </si>
  <si>
    <t>VALOR DIRECTO</t>
  </si>
  <si>
    <t>REVISIÓN, AJUSTES Y/O COMPLEMENTACIÓN A ESTUDIOS Y DISEÑOS</t>
  </si>
  <si>
    <t>2. ETAPA II. CONSTRUCCIÓN Y PUESTA EN FUNCIONAMIENTO DE LOS PARQUEADEROS, ESPACIO PÚBLICO Y MEJORAMIENTO DEL COLEGIO RODRIGO LARA BONILLA, EN EL MUNICIPIO DE NEIVA, DEPARTAMENTO DE HUILA</t>
  </si>
  <si>
    <t>PRECIOS UNITARIOS</t>
  </si>
  <si>
    <t>VALOR TOTAL</t>
  </si>
  <si>
    <t>VALOR DIRECTO OBRA</t>
  </si>
  <si>
    <t>ESPACIO PÚBLICO (incluye circulaciones peatonales, área de reducción de velocidad)</t>
  </si>
  <si>
    <t>m2</t>
  </si>
  <si>
    <t>PARQUEADERO (incluye parqueadero, circulación peatonal, zonas verdes, cerramiento)</t>
  </si>
  <si>
    <t>ACTIVIDADES DE MEJORAMIENTO DE LA INFRAESTRUCTURA EXISTENTE</t>
  </si>
  <si>
    <t> B</t>
  </si>
  <si>
    <t xml:space="preserve">VALOR COSTOS INDIRECTOS </t>
  </si>
  <si>
    <t>Administración</t>
  </si>
  <si>
    <t xml:space="preserve">Imprevistos </t>
  </si>
  <si>
    <t>Utilidad</t>
  </si>
  <si>
    <t>Valor  IVA sobre la utilidad</t>
  </si>
  <si>
    <t xml:space="preserve"> VALOR TOTAL DE OBRA (A+B)</t>
  </si>
  <si>
    <t>PROYECTO</t>
  </si>
  <si>
    <t>ITEM</t>
  </si>
  <si>
    <t>DESCRIPCIÓN DE LA ETAPA</t>
  </si>
  <si>
    <t>VALOR POR ETAPA</t>
  </si>
  <si>
    <t>INTERVENTORÍA</t>
  </si>
  <si>
    <t>RECURSOS TOTALES</t>
  </si>
  <si>
    <t>DISPONIBLES</t>
  </si>
  <si>
    <t>EJECUCIÓN DE REVISIÓN, AJUSTE Y COMPLEMENTACIÓN A ESTUDIOS, DISEÑOS Y CONSTRUCCIÓN Y PUESTA EN FUNCIONAMIENTO DE LOS PARQUEADEROS, ESPACIO PÚBLICO Y MEJORAMIENTO DEL COLEGIO RODRIGO LARA BONILLA, EN EL MUNICIPIO DE NEIVA, DEPARTAMENTO DE HUILA</t>
  </si>
  <si>
    <r>
      <t>ETAPA I:</t>
    </r>
    <r>
      <rPr>
        <sz val="10"/>
        <color theme="1"/>
        <rFont val="Arial Narrow"/>
        <family val="2"/>
      </rPr>
      <t xml:space="preserve"> Revisión, ajustes y complementación de Estudios y diseños.</t>
    </r>
  </si>
  <si>
    <r>
      <t xml:space="preserve">ETAPA II: </t>
    </r>
    <r>
      <rPr>
        <sz val="10"/>
        <color theme="1"/>
        <rFont val="Arial Narrow"/>
        <family val="2"/>
      </rPr>
      <t>Ejecución de obra</t>
    </r>
  </si>
  <si>
    <t>TOTAL DEL PROYECTO</t>
  </si>
  <si>
    <t>VALOR TOTAL DEL PROYECTO (A+B)</t>
  </si>
  <si>
    <t>Valor Mínimo de la Etapa</t>
  </si>
  <si>
    <t>Valor Máximo de la Etapa</t>
  </si>
  <si>
    <t>VALOR TOTAL OBRA E INTERV.</t>
  </si>
  <si>
    <r>
      <t>ETAPA I:</t>
    </r>
    <r>
      <rPr>
        <sz val="10"/>
        <color theme="1"/>
        <rFont val="Arial Narrow"/>
        <family val="2"/>
      </rPr>
      <t xml:space="preserve"> Revisión, ajustes y complementación de Estudios y diseños. (Incluye IVA 19%)</t>
    </r>
  </si>
  <si>
    <r>
      <t xml:space="preserve">Hasta la suma de  $  </t>
    </r>
    <r>
      <rPr>
        <sz val="9"/>
        <color rgb="FFFF0000"/>
        <rFont val="Arial Narrow"/>
        <family val="2"/>
      </rPr>
      <t>39.955.380</t>
    </r>
  </si>
  <si>
    <r>
      <t xml:space="preserve">ETAPA II: </t>
    </r>
    <r>
      <rPr>
        <sz val="10"/>
        <color theme="1"/>
        <rFont val="Arial Narrow"/>
        <family val="2"/>
      </rPr>
      <t>Ejecución de obra (Incluye IVA sobre utilidad y A.I.U)</t>
    </r>
  </si>
  <si>
    <r>
      <t xml:space="preserve">Hasta la suma de  $  </t>
    </r>
    <r>
      <rPr>
        <sz val="9"/>
        <color rgb="FFFF0000"/>
        <rFont val="Arial Narrow"/>
        <family val="2"/>
      </rPr>
      <t>1.311.180.234</t>
    </r>
  </si>
  <si>
    <t>TOTAL PRESUPUESTO ESTIMADO–PE</t>
  </si>
  <si>
    <t>Hasta la suma de $  1.351.135614</t>
  </si>
  <si>
    <t xml:space="preserve"> (Etapa I + Etapa II)</t>
  </si>
  <si>
    <t>FORMATO No. 4 - PROPUESTA ECONÓMICA</t>
  </si>
  <si>
    <t>VALOR DEL IVA ETAPA 1 (19 %)</t>
  </si>
  <si>
    <t>ESPECIFICACIONES MINIMAS</t>
  </si>
  <si>
    <t xml:space="preserve">Transporte, suministro e instalacion de escritorio administrativo con superficie de retorno para uso de equipos de cómputo, manejo de papelería, recepción y atención de usuarios, tapa de madera flormorado mallado de 3,5 cm pintada en poliuretano. Las medidas y especificaciones serán de acuerdo con los diseños a presentar. *Sujeto a diseño complementario para la dotación </t>
  </si>
  <si>
    <t xml:space="preserve">Transporte, suministro e instalación de silla administrativa de altura graduable: Silla giratoria compuesta por un mecanismo basculante,  base giratoria de 5 apoyos en polipropileno, espaldar en malla con elastán, asiento tapizado y piezasde ensamble en polipropileno negro o blanco. </t>
  </si>
  <si>
    <t>Transporte, suministro e instalación de silla tipo tándem de dos 2 Puestos tapizado.
Estructura: Metálica en acero con lamina micro perforada de alta calidad, viga central en tubería rectangular de 3×1 1/2 acabado en pintura electrostática color negro.
Tapizado: En cuerina, poliuretano negro y espuma laminada.
Patas: Patas en acero con terminación en cromo con sistema de niveladores cromados.
Dimensiones aproximadas : 76.5 cm alto x 116 cm ancho x 44,5 cm profundidad  (38 cm profundidad  asiento).</t>
  </si>
  <si>
    <t>Transporte, suministro e instalación de mesa en forma de trapezoidal apta para uso individual y/o grupal
Estructura fabricada en tubo y portalibros en lamina Cold Rolled, acabados en pintura en polvo electrostática horneable de alta resistencia. Superficie en madera de 12mm en Triplex lacado y sellado.
Dimensiones aproximadas: Alto 60 cm x Ancho 120 cm x Fondo 60 cm.</t>
  </si>
  <si>
    <t xml:space="preserve">Transporte, suministro e instalación de silla para espacios de reunión -- interlocutura tapizada
Estructura fabricada en tubo redondo Cold Rolled, acabado en pintura electrostática en polvo horneable .
Asiento en espuma de alta densidad, tapizado en paño , tela sintética o cordobán. Color de tapiz por especificar.
Espaldar en polipropileno perforado. </t>
  </si>
  <si>
    <t>Transporte, suministro e instalación de blackout y/o screen sistema manual, incluye cenefa, tapa luces laterales y  todos los elementos para su perfecto funcionamiento.
Cortina con sistema enrollablede en tela solar screen, que permite un paso difuso de la luz hacia el interior, permitiendo contacto visual hacia el exterior y brindando privacidad al interior (las cantidades registradas corresponden a las aulas). Dimensiones aproximadas: 2.50 h mt x 2.00 mt</t>
  </si>
  <si>
    <t>Transporte, suministro e instalación de mueble de almacenamiento. Estante tipo biblioteca en estructura metálica con acabados en pintura en polvo electroestática.
Superficies o tapas  y laterales en Madera laminada de 19 mm
Entrepaños graduables rectos o reclinables.
Color Laminado: Haya / Wengue * por definir
Color Estructura: Negro o blanco
Dimensiones aproximadas: Alto 2.00 m x Ancho 0.97 m x Fondo 0.30 m</t>
  </si>
  <si>
    <t>Transporte, suministro e instalación de mesa plegable multisusos tipo maletin
Capacidad para 10 puestos
Patas metálicas que brindan resistencia y seguridad.
Tacon antideslizante.
Superficie plástica
Para uso exterior intensivo con protección U.V.
Bloqueador de las patas en posición de uso.
 Soporta hasta 90 Kg.
Dimensiones aproximadas :183 cm x 74.5 cm x 74 cm
Color : Blanco o negro * por definir</t>
  </si>
  <si>
    <t>Transporte, suministro e instalación de archivador vertical 4 gavetas
Archivador fabricado en lámina Cold Rolled terminado en pintura en polvo electrostática de alta resistencia. Con cierre de seguridad y niveladores. Cada uno de los cajones o gavetas cuenta con correderas full extension, provisto de (4) gavetas extraíbles y sistema anti-vuelco de seguridad que impide la apertura de un cajón si otro está abierto. *Con capacidad para fólder colgante tamaño oficio.
Capacidad: 55 kilos por cajón, carga distribuida.
Dimensiones aproximadas : 136 Alto x 47 Ancho x 60 Fondo cms.</t>
  </si>
  <si>
    <t>Transporte, suministro e instalación de mesa tipo eames square en superficie blanca en madera MDF.
Estructura metálica color blanca.
Sujeción inferior mediante tornillos.
4 patas en madera torneada  con tapones antideslizantes.
Dimensiones Superficie : 80 cm x 80 cms
Altura : 75 cm alto
Incluidas cuatro silla tipo poly color gris sin apoyabrazos, monoconcha inyectada en polipropileno.</t>
  </si>
  <si>
    <t>Transporte, suministro e instalación de locker de 16 Puestos con una medida aproximada de 2.00 x 1.23 x 0.30 m 
Capacidad : 45 kg por casillero, carga distribuida
Material : Lámina cold rolled calibre 24
Locker con módulos de diferentes números de casillas de un cuerpo y varios compartimientos verticales con puertas y seguros para candado. Zapatera y manijas plásticas en polipropileno. Las puertas del locker posee celosías que permiten la circulación de aire, superficie terminada completamente lisa, sistema de seguridad según las características de uso. El locker está apoyado sobre sistema rígido, bisagras desarmables únicamente con la puerta abierta.</t>
  </si>
  <si>
    <t>Transporte, suministro e instalación de punto ecologico de 3 puestos para reciclaje
Material: polipropileno
Capacidad: 53 litros</t>
  </si>
  <si>
    <t>Transporte, suministro e instalación de camilla incluye inmovilizador</t>
  </si>
  <si>
    <t>Transporte, suministro e instalación de extintor multiproposito, incluye todos los elementos para su correcta instalacion</t>
  </si>
  <si>
    <t>Transporte, suministro e instalación de botiquín tipo b incluye todos los elementos necesarios según resolución 0705 del 2007. Mueble con entrepaños para botiquín de uso en pared. Incluye dotación.</t>
  </si>
  <si>
    <t>Transporte, suministro e instalación de la señalización de panel fijo de información en acrilico 100% calibre 4 mm color cristal, con impresión digital de alta resolución, instalado con dilatadores en aluminio de 3/4 x 3. Debe incluir braile.  Dimensiones aproximadas: 21 x 35 CM * segun diseño de señaletica por proyecto. La señalización informativa de los espacios interiores corresponde con la cantidad total de la señalización que se requiere en el Centro. Se estima un total aproximado de 16 señales por centro.</t>
  </si>
  <si>
    <t>Transporte, suministro e instalación de la señalización de emergencia en poliestireno de alto impacto fotoluminiscente, con el ﬁn de brindar la posibilidad de advertir y reconocer a tiempo las rutas de evacuación. La señalética debe dar cumplimiento a las siguientes NTC:
•	Norma Técnica Colombiana NTC 1461
•	Norma Técnica Colombiana NTC 1910
•	Norma Técnica Colombiana NTC 1931
•	Norma Técnica Colombiana NTC 1700
•	Resolución 0445 de 1996, Capítulo IX
•	Resolución 1937 de 1994
•	Resolución 2400 de 1979 Título VNFPA 101
•	Decreto 1072 de 2015”
Dimensiones aproximadas: 30 x 15 CM * segun diseño de señaletica por proyecto. La señalización y avisos de seguridad corresponde con la cantidad total de la señalización que se requiere en el Centro. Se estima un total aproximado de 16 señales por centro.</t>
  </si>
  <si>
    <t>Transporte, suministro e instalación de computador portátil Windows. Especificaciones generales: 
Procesador: 11th Generation Intel® Core™ i5-1135G7 Processor (8MB Cache, up to 4.2 GHz)
Sistema operativo: Windows 10 Pro English, French, Spanish
Tarjeta de video: Intel® Iris Xe Graphics
Pantalla: 13.4" FHD+ (1920 x 1200) InfinityEdge Non-Touch Anti-Glare 500-Nit Display
Memoria1: 8GB 4267MHz LPDDR4x Memory Onboard
Disco duro: 256GB M.2 PCIe NVMe Solid State Drive
*Incluye guaya de seguridad por equipo instalado</t>
  </si>
  <si>
    <t>Transporte, suministro e instalación de impresora láser multifuncional a color
Especificaciones minimas:
Sistemas de Operación: Windows 10/ 8.1/ 8/ 7/ Vista/ XP SP3 or later/ XP Professional x64 Edition SP2 or later
Mac OS X 10.6.8, 10.7.x, 10.8.x, 10.9.x, 10.10.x, 10.11.x, MacOS 10.12.x9
Sistemas de Servidor: Windows Server8: 2003 SP2 or later/2003 R2/ 2008/2008 R2/ 2012/ 2012 R2/ 2016
Tecnología de Impresión: Cabezal de impresión PrecisionCore® 4S por inyección de tinta de 4 colores
Resolución de Impresión: 4800 x 1200 dpi optimizados
Tamaño Mínimo de la Gota de Tinta: Tres tamaños de gota
Tamaño Total de Memoria RAM: 1024(Mbytes)12
Configuración de la Tinta: Cuatro cartuchos de tinta individuales</t>
  </si>
  <si>
    <t>Transporte, suministro e instalación de televisor de 50 pulgadas SmartTV
Especificaciones minimas:
Tamaño de la pantalla: 50 pulgadas
Resolución: 4K Ultra HD
Tecnología: QLED
Conexión Bluetooth: Sí
Entradas USB: 2
Smart TV: Sí
Entradas HDMI: 3
Contiene control remoto</t>
  </si>
  <si>
    <t>Transporte, suministro e instalación de soporte movil con sistema de ruedas para televisor de 50 pulgadas,  ajustable: 32'' a 55''. Capacidad máxima de peso: 35 kg, tipo Techgo  Spr-6403</t>
  </si>
  <si>
    <t>Transporte, suministro e instalación de telefono.
Especificaciones minimas: 
• Posibilidad de montaje mural
• Tipo de marcación Tonos/Pulsos
• Tiempo de apertura calibrada 100,300,600 ms
• Cable de línea desconectable Sí/RJ11/RJ11
• Alimentación eléctrica No/Línea telefónica</t>
  </si>
  <si>
    <t>Transporte, suministro e instalación de micrófono inalambrico compatible con sistema de sonido. Se debe incluir accesorios y/o equipos complementarios para el funcionamiento integrado al sonido de altavoces.</t>
  </si>
  <si>
    <t>Transporte, suministro e instalación de panel móvil difusor - panel reflector de sonido, estos elementos deben garantizar el cerramiento espacial de la zona  para realizar ampliaciones y reducciones del espacio, deben estar montados en sistemas portátiles y deben ser de fácil apilación. *Sujeto a diseño complementario para la dotación, se estructura bajo una dimension aproximada de 3.00 h mt x 3.00 mt.</t>
  </si>
  <si>
    <t>Transporte, suministro e instalación de mueble en L * Sujeto a diseño complementario para la dotación</t>
  </si>
  <si>
    <t>Transporte, suministro e instalación de silla de altura graduable y giratoria. La altura debe estar en relación a la mesa alta en L.  * Sujeto a diseño complementario para la dotación</t>
  </si>
  <si>
    <t>Transporte, suministro e instalación de sillóntipo puff de plástico para trabajo y descanso flexible  * Sujeto a diseño complementario para la dotación</t>
  </si>
  <si>
    <t>B.</t>
  </si>
  <si>
    <t xml:space="preserve"> VALOR TOTAL DE LA OFERTA ECONOMICA (A+B)</t>
  </si>
  <si>
    <t>INTERVENTORÍA INTEGRAL (ADMINISTRATIVA, FINANCIERA, CONTABLE, AMBIENTAL, SOCIAL, JURÍDICA Y TÉCNICA) A LA REVISIÓN, AJUSTE Y COMPLEMENTACIÓN DE ESTUDIOS, DISEÑOS Y CONSTRUCCIÓN DEL ACCESO (INCLUYE PARQUEADERO) Y OBRAS DE REHABILITACIÓN DE LAS ÁREAS DE CIRCULACIÓN INTERNAS DEL BLOQUE A DEL COLEGIO RODRIGO LARA BONILLA EN EL MUNICIPIO DE NEIVA, DEPARTAMENTO DEL HUILA</t>
  </si>
  <si>
    <t xml:space="preserve">VALOR DE LA ETAPA SIN IVA </t>
  </si>
  <si>
    <t>VALOR IVA (19%)</t>
  </si>
  <si>
    <t>VALOR TOTAL ETAPA</t>
  </si>
  <si>
    <r>
      <t xml:space="preserve">  ETAPA I:</t>
    </r>
    <r>
      <rPr>
        <sz val="9"/>
        <color rgb="FF000000"/>
        <rFont val="Arial Narrow"/>
        <family val="2"/>
      </rPr>
      <t xml:space="preserve"> INTERVENTORÍA REVISIÓN, AJUSTE Y COMPLEMENTACIÓN A LOS ESTUDIOS Y DISEÑOS, OBTENCIÓN DE LICENCIAS Y PERMISOS</t>
    </r>
  </si>
  <si>
    <t>B</t>
  </si>
  <si>
    <r>
      <t xml:space="preserve">ETAPA II: </t>
    </r>
    <r>
      <rPr>
        <sz val="9"/>
        <color rgb="FF000000"/>
        <rFont val="Arial Narrow"/>
        <family val="2"/>
      </rPr>
      <t>INTERVENTORÍA A LA CONSTRUCCIÓN, PUESTA EN FUNCIONAMIENTO Y PROCESO DE CIERRE CONTRACTUAL</t>
    </r>
  </si>
  <si>
    <t>C</t>
  </si>
  <si>
    <t>VALOR DEL TOTAL DE LA PROPUESTA (A+B)</t>
  </si>
  <si>
    <t>VALOR</t>
  </si>
  <si>
    <t>Contrato de obra Fase IV</t>
  </si>
  <si>
    <t>Contrato de Inverventoría Fase IV</t>
  </si>
  <si>
    <t>VALOR TOTAL REQUERIDO FASE IV</t>
  </si>
  <si>
    <t xml:space="preserve">FUENTE DE RECURSOS </t>
  </si>
  <si>
    <t>VALOR A UTILIZAR</t>
  </si>
  <si>
    <t xml:space="preserve">VALOR DISPONIBLE </t>
  </si>
  <si>
    <t>Recursos Liberados por concepto de aplicación Clausula Penal de apremio PAF-EUC-018-2015 (Contrato de obra Etapa 3 del Colegio Rodrigo Lara Bonilla</t>
  </si>
  <si>
    <t>Recursos sin comprometer de la contrapartida del Mpio de Neiva</t>
  </si>
  <si>
    <t>Saldo a favor del Patrimonio conforme acta de liquidación PAF-EUC-O-047-2017 (Contrato de obra de la Fase 3 del Colegio Rodrigo Lara Bonilla)</t>
  </si>
  <si>
    <t>VALOR TOTAL A UTILIZAR FASE IV</t>
  </si>
  <si>
    <t>VALOR REQUERIDO </t>
  </si>
  <si>
    <t>FUENTE DE RECURSOS</t>
  </si>
  <si>
    <t>TOTAL</t>
  </si>
  <si>
    <t>MUNICIPIO DE NEIVA</t>
  </si>
  <si>
    <t>Clausula Penal contrato PAF-EUC-018-2015</t>
  </si>
  <si>
    <t xml:space="preserve">saldo liberado en la liquidación contrato PAF-EUC-O-047-2017 </t>
  </si>
  <si>
    <t>Contrato de Interventoría Fase IV</t>
  </si>
  <si>
    <t>VALOR TOTAL REQUERIDO PARA FASE IV</t>
  </si>
  <si>
    <t>CANTIDAD APROXIMADA</t>
  </si>
  <si>
    <r>
      <rPr>
        <b/>
        <sz val="9"/>
        <color theme="1"/>
        <rFont val="Arial Narrow"/>
        <family val="2"/>
      </rPr>
      <t>Nota 1:</t>
    </r>
    <r>
      <rPr>
        <sz val="9"/>
        <color theme="1"/>
        <rFont val="Arial Narrow"/>
        <family val="2"/>
      </rPr>
      <t xml:space="preserve"> Todos los valores contenidos en la  oferta económica (valor unitario, valor de ítem, valor de etapa o fase, valor del IVA, valor total, valores resultantes de las operaciones aritméticas a que haya lugar, etc.) deberán estar ajustado al peso.
En caso que cualquier valor de la oferta económica (valor unitario, valor de ítem, valor de etapa o fase, valor del IVA,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t>
    </r>
    <r>
      <rPr>
        <b/>
        <sz val="9"/>
        <color theme="1"/>
        <rFont val="Arial Narrow"/>
        <family val="2"/>
      </rPr>
      <t>Nota 2:</t>
    </r>
    <r>
      <rPr>
        <sz val="9"/>
        <color theme="1"/>
        <rFont val="Arial Narrow"/>
        <family val="2"/>
      </rPr>
      <t xml:space="preserve"> En el evento que la propuesta económica no contenga el precio o se haya diligenciado en cero o con algún símbolo, la propuesta será rechazada.
</t>
    </r>
    <r>
      <rPr>
        <b/>
        <sz val="9"/>
        <color theme="1"/>
        <rFont val="Arial Narrow"/>
        <family val="2"/>
      </rPr>
      <t>Nota 3:</t>
    </r>
    <r>
      <rPr>
        <sz val="9"/>
        <color theme="1"/>
        <rFont val="Arial Narrow"/>
        <family val="2"/>
      </rPr>
      <t xml:space="preserve"> </t>
    </r>
    <r>
      <rPr>
        <b/>
        <sz val="9"/>
        <color theme="1"/>
        <rFont val="Arial Narrow"/>
        <family val="2"/>
      </rPr>
      <t>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r>
      <rPr>
        <sz val="9"/>
        <color theme="1"/>
        <rFont val="Arial Narrow"/>
        <family val="2"/>
      </rPr>
      <t xml:space="preserve">
</t>
    </r>
    <r>
      <rPr>
        <b/>
        <sz val="9"/>
        <color theme="1"/>
        <rFont val="Arial Narrow"/>
        <family val="2"/>
      </rPr>
      <t>Nota 4:</t>
    </r>
    <r>
      <rPr>
        <sz val="9"/>
        <color theme="1"/>
        <rFont val="Arial Narrow"/>
        <family val="2"/>
      </rPr>
      <t xml:space="preserve"> La Entidad realizará la verificación y corrección de todas las operaciones aritméticas a que haya lugar en la propuesta económica. El resultado de todas las operaciones aritméticas se redondeará al peso en el momento de la evaluación económica.
</t>
    </r>
    <r>
      <rPr>
        <b/>
        <sz val="9"/>
        <color theme="1"/>
        <rFont val="Arial Narrow"/>
        <family val="2"/>
      </rPr>
      <t>Nota 6:</t>
    </r>
    <r>
      <rPr>
        <sz val="9"/>
        <color theme="1"/>
        <rFont val="Arial Narrow"/>
        <family val="2"/>
      </rPr>
      <t xml:space="preserve"> Revisión del IVA: El oferente debe indicar en su oferta económica la tarifa del IVA aplicable al objeto contractual. En caso de no indicarla o en caso de indicarla en un porcentaje diferente a la tarifa legal, su oferta será rechazada.</t>
    </r>
  </si>
  <si>
    <r>
      <rPr>
        <b/>
        <sz val="9"/>
        <color theme="1"/>
        <rFont val="Arial Narrow"/>
        <family val="2"/>
      </rPr>
      <t>Nota :</t>
    </r>
    <r>
      <rPr>
        <sz val="9"/>
        <color theme="1"/>
        <rFont val="Arial Narrow"/>
        <family val="2"/>
      </rPr>
      <t xml:space="preserve"> El servicio de </t>
    </r>
    <r>
      <rPr>
        <b/>
        <u val="singleAccounting"/>
        <sz val="9"/>
        <color theme="1"/>
        <rFont val="Arial Narrow"/>
        <family val="2"/>
      </rPr>
      <t>transporte de carga</t>
    </r>
    <r>
      <rPr>
        <sz val="9"/>
        <color theme="1"/>
        <rFont val="Arial Narrow"/>
        <family val="2"/>
      </rPr>
      <t xml:space="preserve"> y pasajeros está </t>
    </r>
    <r>
      <rPr>
        <b/>
        <sz val="9"/>
        <color theme="1"/>
        <rFont val="Arial Narrow"/>
        <family val="2"/>
      </rPr>
      <t>excluido</t>
    </r>
    <r>
      <rPr>
        <sz val="9"/>
        <color theme="1"/>
        <rFont val="Arial Narrow"/>
        <family val="2"/>
      </rPr>
      <t xml:space="preserve"> del impuesto a las ventas según lo señala el artículo 476 del estatuto tributario en sus numerales 9 y 10.</t>
    </r>
  </si>
  <si>
    <t>TOTAL ETAPA II</t>
  </si>
  <si>
    <t xml:space="preserve"> CONTRATAR “EL SUMINISTRO E INSTALACIÓN PARA LA DOTACION Y PUESTA EN FUNCIONAMIENTO DE CENTROS SACÚDETE UBICADOS A NIVEL NACIONAL, INCLUYE ESTUDIOS Y DISEÑOS”</t>
  </si>
  <si>
    <t xml:space="preserve">VALOR TOTAL ETAPA 1 – ESTUDIOS Y DISEÑOS DE MOBILIARIO Y ELEMENTOS PARA LA DOTACIÓN:  (IVA INCLUIDO) </t>
  </si>
  <si>
    <t>1. ETAPA 1 – ESTUDIOS Y DISEÑOS DE MOBILIARIO Y ELEMENTOS PARA LA DOTACIÓN</t>
  </si>
  <si>
    <t>2. ETAPA 2 – SUMINISTRO E INSTALACIÓN DE LA DOTACIÓN Y PUESTA EN FUNCIONAMIENTO DE LOS CENTROS SACUDETE</t>
  </si>
  <si>
    <t>ETAPA 1 – ESTUDIOS Y DISEÑOS DE MOBILIARIO Y ELEMENTOS PARA LA DOTACIÓN: (ANTES DE IVA)</t>
  </si>
  <si>
    <t>VALOR PROPUESTA ECONOMICA  ETAPA II 
(IVA INCLUIDO)</t>
  </si>
  <si>
    <t>Transporte, suministro e instalación de sistema de altavoces estéreo tipo Acoustimass  5 serie V, con un desempeño de audio amplio y natural, sonido profundo de bajos, con posibilidad de instalación en la pared, pedestales para el piso o pedestales de mesa. Incluye receptores o amplificadores en un rango de 4 – 8 ohmios con una potencia en un rango de 10 – 100 watts por canal. Tensión IEC: 50 watts por canal.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</si>
</sst>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 #,##0;[Red]\-&quot;$&quot;\ #,##0"/>
    <numFmt numFmtId="165" formatCode="&quot;$&quot;\ #,##0.00;[Red]\-&quot;$&quot;\ #,##0.00"/>
    <numFmt numFmtId="166" formatCode="_-&quot;$&quot;\ * #,##0.00_-;\-&quot;$&quot;\ * #,##0.00_-;_-&quot;$&quot;\ * &quot;-&quot;??_-;_-@_-"/>
    <numFmt numFmtId="167" formatCode="_-[$$-240A]\ * #,##0.00_-;\-[$$-240A]\ * #,##0.00_-;_-[$$-240A]\ * &quot;-&quot;??_-;_-@_-"/>
    <numFmt numFmtId="168" formatCode="0.0"/>
    <numFmt numFmtId="169" formatCode="_-* #,##0.00_-;\-* #,##0.00_-;_-* \-??_-;_-@_-"/>
    <numFmt numFmtId="170" formatCode="_ * #,##0.00_ ;_ * \-#,##0.00_ ;_ * \-??_ ;_ @_ "/>
    <numFmt numFmtId="171" formatCode="_ * #,##0_ ;_ * \-#,##0_ ;_ * \-??_ ;_ @_ "/>
    <numFmt numFmtId="172" formatCode="_([$$-240A]\ * #,##0_);_([$$-240A]\ * \(#,##0\);_([$$-240A]\ * &quot;-&quot;??_);_(@_)"/>
    <numFmt numFmtId="173" formatCode="_-* #,##0_-;\-* #,##0_-;_-* &quot;-&quot;??_-;_-@_-"/>
    <numFmt numFmtId="174" formatCode="&quot;$&quot;#,##0"/>
    <numFmt numFmtId="175" formatCode="_-* #,##0.00_-;\-* #,##0.00_-;_-* &quot;-&quot;_-;_-@_-"/>
  </numFmts>
  <fonts count="43"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sz val="11"/>
      <color indexed="8"/>
      <name val="Calibri"/>
      <family val="2"/>
      <charset val="1"/>
    </font>
    <font>
      <sz val="10"/>
      <color indexed="8"/>
      <name val="Arial"/>
      <family val="2"/>
    </font>
    <font>
      <sz val="9"/>
      <color theme="1"/>
      <name val="Arial"/>
      <family val="2"/>
    </font>
    <font>
      <b/>
      <sz val="10"/>
      <color theme="1"/>
      <name val="Calibri"/>
      <family val="2"/>
      <scheme val="minor"/>
    </font>
    <font>
      <sz val="10"/>
      <color theme="1"/>
      <name val="Calibri"/>
      <family val="2"/>
      <scheme val="minor"/>
    </font>
    <font>
      <b/>
      <sz val="10"/>
      <color theme="1"/>
      <name val="Arial Narrow"/>
      <family val="2"/>
    </font>
    <font>
      <b/>
      <sz val="10"/>
      <color indexed="8"/>
      <name val="Arial Narrow"/>
      <family val="2"/>
      <charset val="1"/>
    </font>
    <font>
      <b/>
      <sz val="10"/>
      <color rgb="FF000000"/>
      <name val="Arial Narrow"/>
      <family val="2"/>
    </font>
    <font>
      <sz val="10"/>
      <name val="Arial Narrow"/>
      <family val="2"/>
      <charset val="1"/>
    </font>
    <font>
      <sz val="10"/>
      <color rgb="FF000000"/>
      <name val="Calibri"/>
      <family val="2"/>
      <scheme val="minor"/>
    </font>
    <font>
      <sz val="10"/>
      <name val="Arial Narrow"/>
      <family val="2"/>
    </font>
    <font>
      <sz val="10"/>
      <color rgb="FF000000"/>
      <name val="Arial Narrow"/>
      <family val="2"/>
    </font>
    <font>
      <sz val="10"/>
      <color indexed="8"/>
      <name val="Arial Narrow"/>
      <family val="2"/>
    </font>
    <font>
      <sz val="10"/>
      <color theme="1"/>
      <name val="Century Schoolbook"/>
      <family val="1"/>
    </font>
    <font>
      <sz val="10"/>
      <color theme="1"/>
      <name val="Arial Narrow"/>
      <family val="2"/>
    </font>
    <font>
      <sz val="10"/>
      <color rgb="FFFF0000"/>
      <name val="Arial Narrow"/>
      <family val="2"/>
    </font>
    <font>
      <sz val="9"/>
      <color rgb="FF000000"/>
      <name val="Arial Narrow"/>
      <family val="2"/>
    </font>
    <font>
      <b/>
      <sz val="10"/>
      <color rgb="FFFF0000"/>
      <name val="Arial Narrow"/>
      <family val="2"/>
    </font>
    <font>
      <b/>
      <sz val="9"/>
      <color rgb="FF000000"/>
      <name val="Arial Narrow"/>
      <family val="2"/>
    </font>
    <font>
      <sz val="9"/>
      <color rgb="FFFF0000"/>
      <name val="Arial Narrow"/>
      <family val="2"/>
    </font>
    <font>
      <b/>
      <sz val="10"/>
      <color rgb="FFFF0000"/>
      <name val="Arial"/>
      <family val="2"/>
    </font>
    <font>
      <sz val="9"/>
      <color indexed="81"/>
      <name val="Tahoma"/>
      <family val="2"/>
    </font>
    <font>
      <b/>
      <sz val="9"/>
      <color indexed="81"/>
      <name val="Tahoma"/>
      <family val="2"/>
    </font>
    <font>
      <u/>
      <sz val="10"/>
      <color theme="1"/>
      <name val="Arial"/>
      <family val="2"/>
    </font>
    <font>
      <b/>
      <sz val="9"/>
      <name val="Arial Narrow"/>
      <family val="2"/>
    </font>
    <font>
      <b/>
      <sz val="9"/>
      <color theme="1"/>
      <name val="Arial Narrow"/>
      <family val="2"/>
    </font>
    <font>
      <sz val="9"/>
      <name val="Arial Narrow"/>
      <family val="2"/>
    </font>
    <font>
      <sz val="9"/>
      <color theme="1"/>
      <name val="Arial Narrow"/>
      <family val="2"/>
    </font>
    <font>
      <b/>
      <sz val="8"/>
      <color rgb="FF000000"/>
      <name val="Arial Narrow"/>
      <family val="2"/>
    </font>
    <font>
      <sz val="8"/>
      <color theme="1"/>
      <name val="Arial Narrow"/>
      <family val="2"/>
    </font>
    <font>
      <b/>
      <sz val="8"/>
      <color theme="1"/>
      <name val="Arial Narrow"/>
      <family val="2"/>
    </font>
    <font>
      <b/>
      <sz val="14"/>
      <name val="Arial Narrow"/>
      <family val="2"/>
    </font>
    <font>
      <b/>
      <sz val="12"/>
      <color theme="1"/>
      <name val="Arial Narrow"/>
      <family val="2"/>
    </font>
    <font>
      <b/>
      <sz val="9"/>
      <color rgb="FFFF0000"/>
      <name val="Arial Narrow"/>
      <family val="2"/>
    </font>
    <font>
      <b/>
      <u val="singleAccounting"/>
      <sz val="9"/>
      <color theme="1"/>
      <name val="Arial Narrow"/>
      <family val="2"/>
    </font>
    <font>
      <sz val="9"/>
      <color rgb="FF002060"/>
      <name val="Arial Narrow"/>
      <family val="2"/>
    </font>
  </fonts>
  <fills count="2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26"/>
      </patternFill>
    </fill>
    <fill>
      <patternFill patternType="solid">
        <fgColor rgb="FFFBE4D5"/>
        <bgColor indexed="64"/>
      </patternFill>
    </fill>
    <fill>
      <patternFill patternType="solid">
        <fgColor theme="0" tint="-4.9989318521683403E-2"/>
        <bgColor indexed="26"/>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DE9D9"/>
        <bgColor indexed="64"/>
      </patternFill>
    </fill>
    <fill>
      <patternFill patternType="solid">
        <fgColor rgb="FFFFFF00"/>
        <bgColor indexed="64"/>
      </patternFill>
    </fill>
    <fill>
      <patternFill patternType="solid">
        <fgColor theme="6"/>
        <bgColor indexed="64"/>
      </patternFill>
    </fill>
    <fill>
      <patternFill patternType="solid">
        <fgColor theme="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7" fillId="0" borderId="0"/>
    <xf numFmtId="169" fontId="7" fillId="0" borderId="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317">
    <xf numFmtId="0" fontId="0" fillId="0" borderId="0" xfId="0"/>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xf>
    <xf numFmtId="0" fontId="5" fillId="0" borderId="1" xfId="0" applyFont="1" applyBorder="1" applyAlignment="1">
      <alignment horizontal="center"/>
    </xf>
    <xf numFmtId="167" fontId="4" fillId="0" borderId="1" xfId="0" applyNumberFormat="1" applyFont="1" applyBorder="1"/>
    <xf numFmtId="1" fontId="4" fillId="2"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167" fontId="4" fillId="3" borderId="1" xfId="0" applyNumberFormat="1" applyFont="1" applyFill="1" applyBorder="1"/>
    <xf numFmtId="1" fontId="4" fillId="4" borderId="1" xfId="0" applyNumberFormat="1" applyFont="1" applyFill="1" applyBorder="1" applyAlignment="1">
      <alignment horizontal="center" vertical="center"/>
    </xf>
    <xf numFmtId="167" fontId="4" fillId="4" borderId="1" xfId="0" applyNumberFormat="1" applyFont="1" applyFill="1" applyBorder="1"/>
    <xf numFmtId="167" fontId="4" fillId="2" borderId="1" xfId="0" applyNumberFormat="1" applyFont="1" applyFill="1" applyBorder="1"/>
    <xf numFmtId="0" fontId="4" fillId="3" borderId="1" xfId="0" applyFont="1" applyFill="1" applyBorder="1" applyAlignment="1">
      <alignment horizontal="center" vertical="center"/>
    </xf>
    <xf numFmtId="167" fontId="5" fillId="0" borderId="1" xfId="0" applyNumberFormat="1" applyFont="1" applyBorder="1"/>
    <xf numFmtId="167" fontId="5" fillId="2" borderId="1" xfId="0" applyNumberFormat="1" applyFont="1" applyFill="1" applyBorder="1"/>
    <xf numFmtId="167" fontId="5" fillId="3" borderId="1" xfId="0" applyNumberFormat="1" applyFont="1" applyFill="1" applyBorder="1"/>
    <xf numFmtId="167" fontId="5" fillId="4" borderId="1" xfId="0" applyNumberFormat="1"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wrapText="1"/>
    </xf>
    <xf numFmtId="0" fontId="4" fillId="5" borderId="1" xfId="0" applyFont="1" applyFill="1" applyBorder="1" applyAlignment="1">
      <alignment horizontal="center"/>
    </xf>
    <xf numFmtId="0" fontId="5" fillId="5" borderId="1" xfId="0" applyFont="1" applyFill="1" applyBorder="1" applyAlignment="1">
      <alignment horizontal="center"/>
    </xf>
    <xf numFmtId="167" fontId="4" fillId="5" borderId="1" xfId="0" applyNumberFormat="1" applyFont="1" applyFill="1" applyBorder="1"/>
    <xf numFmtId="0" fontId="6" fillId="0" borderId="1" xfId="0" applyFont="1" applyBorder="1" applyAlignment="1">
      <alignment horizontal="center"/>
    </xf>
    <xf numFmtId="168" fontId="4" fillId="2"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167" fontId="4" fillId="0" borderId="1" xfId="0" applyNumberFormat="1" applyFont="1" applyBorder="1" applyAlignment="1">
      <alignment vertical="center"/>
    </xf>
    <xf numFmtId="167" fontId="4" fillId="2" borderId="1" xfId="0" applyNumberFormat="1" applyFont="1" applyFill="1" applyBorder="1" applyAlignment="1">
      <alignment vertical="center"/>
    </xf>
    <xf numFmtId="167" fontId="4" fillId="3" borderId="1" xfId="0" applyNumberFormat="1" applyFont="1" applyFill="1" applyBorder="1" applyAlignment="1">
      <alignment vertical="center"/>
    </xf>
    <xf numFmtId="167" fontId="4" fillId="4" borderId="1" xfId="0" applyNumberFormat="1" applyFont="1" applyFill="1" applyBorder="1" applyAlignment="1">
      <alignment vertical="center"/>
    </xf>
    <xf numFmtId="0" fontId="5" fillId="0" borderId="1" xfId="0" applyFont="1" applyBorder="1" applyAlignment="1">
      <alignment horizontal="center" vertical="center"/>
    </xf>
    <xf numFmtId="167" fontId="6" fillId="0" borderId="1" xfId="0" applyNumberFormat="1" applyFont="1" applyBorder="1" applyAlignment="1">
      <alignment vertical="center"/>
    </xf>
    <xf numFmtId="167" fontId="6" fillId="2" borderId="1" xfId="0" applyNumberFormat="1" applyFont="1" applyFill="1" applyBorder="1" applyAlignment="1">
      <alignment vertical="center"/>
    </xf>
    <xf numFmtId="167" fontId="6" fillId="3" borderId="1" xfId="0" applyNumberFormat="1" applyFont="1" applyFill="1" applyBorder="1" applyAlignment="1">
      <alignment vertical="center"/>
    </xf>
    <xf numFmtId="167" fontId="6" fillId="4" borderId="1" xfId="0" applyNumberFormat="1" applyFont="1" applyFill="1" applyBorder="1" applyAlignment="1">
      <alignment vertical="center"/>
    </xf>
    <xf numFmtId="0" fontId="4" fillId="0" borderId="0" xfId="0" applyFont="1"/>
    <xf numFmtId="0" fontId="4" fillId="0" borderId="0" xfId="0" applyFont="1" applyAlignment="1">
      <alignment wrapText="1"/>
    </xf>
    <xf numFmtId="167" fontId="4" fillId="0" borderId="0" xfId="0" applyNumberFormat="1" applyFont="1"/>
    <xf numFmtId="0" fontId="5" fillId="6" borderId="2" xfId="2" applyFont="1" applyFill="1" applyBorder="1" applyAlignment="1">
      <alignment horizontal="right" vertical="center"/>
    </xf>
    <xf numFmtId="0" fontId="5" fillId="6" borderId="3" xfId="2" applyFont="1" applyFill="1" applyBorder="1" applyAlignment="1">
      <alignment horizontal="center" vertical="center"/>
    </xf>
    <xf numFmtId="170" fontId="8" fillId="6" borderId="3" xfId="3" applyNumberFormat="1" applyFont="1" applyFill="1" applyBorder="1" applyAlignment="1">
      <alignment horizontal="center" vertical="center" wrapText="1"/>
    </xf>
    <xf numFmtId="4" fontId="8" fillId="6" borderId="3" xfId="3" applyNumberFormat="1" applyFont="1" applyFill="1" applyBorder="1" applyAlignment="1">
      <alignment horizontal="right" vertical="center" wrapText="1"/>
    </xf>
    <xf numFmtId="171" fontId="8" fillId="6" borderId="4" xfId="3" applyNumberFormat="1" applyFont="1" applyFill="1" applyBorder="1" applyAlignment="1">
      <alignment horizontal="center" vertical="center" wrapText="1"/>
    </xf>
    <xf numFmtId="171" fontId="8" fillId="6" borderId="0" xfId="3" applyNumberFormat="1" applyFont="1" applyFill="1" applyAlignment="1">
      <alignment horizontal="center" vertical="center" wrapText="1"/>
    </xf>
    <xf numFmtId="171" fontId="8" fillId="6" borderId="5" xfId="3" applyNumberFormat="1" applyFont="1" applyFill="1" applyBorder="1" applyAlignment="1">
      <alignment horizontal="center" vertical="center" wrapText="1"/>
    </xf>
    <xf numFmtId="0" fontId="5" fillId="6" borderId="6" xfId="2" applyFont="1" applyFill="1" applyBorder="1" applyAlignment="1">
      <alignment horizontal="right" vertical="center"/>
    </xf>
    <xf numFmtId="0" fontId="5" fillId="6" borderId="7" xfId="2" applyFont="1" applyFill="1" applyBorder="1" applyAlignment="1">
      <alignment horizontal="center" vertical="center"/>
    </xf>
    <xf numFmtId="170" fontId="8" fillId="6" borderId="7" xfId="3" applyNumberFormat="1" applyFont="1" applyFill="1" applyBorder="1" applyAlignment="1">
      <alignment horizontal="center" vertical="center" wrapText="1"/>
    </xf>
    <xf numFmtId="4" fontId="8" fillId="6" borderId="7" xfId="3" applyNumberFormat="1" applyFont="1" applyFill="1" applyBorder="1" applyAlignment="1">
      <alignment horizontal="right" vertical="center" wrapText="1"/>
    </xf>
    <xf numFmtId="171" fontId="8" fillId="6" borderId="8" xfId="3" applyNumberFormat="1" applyFont="1" applyFill="1" applyBorder="1" applyAlignment="1">
      <alignment horizontal="center" vertical="center" wrapText="1"/>
    </xf>
    <xf numFmtId="171" fontId="8" fillId="6" borderId="9" xfId="3" applyNumberFormat="1" applyFont="1" applyFill="1" applyBorder="1" applyAlignment="1">
      <alignment horizontal="center" vertical="center" wrapText="1"/>
    </xf>
    <xf numFmtId="0" fontId="8" fillId="6" borderId="6" xfId="2" applyFont="1" applyFill="1" applyBorder="1" applyAlignment="1">
      <alignment horizontal="right" vertical="center" wrapText="1"/>
    </xf>
    <xf numFmtId="10" fontId="8" fillId="6" borderId="7" xfId="3" applyNumberFormat="1" applyFont="1" applyFill="1" applyBorder="1" applyAlignment="1">
      <alignment horizontal="center" vertical="center" wrapText="1"/>
    </xf>
    <xf numFmtId="0" fontId="8" fillId="6" borderId="10" xfId="2" applyFont="1" applyFill="1" applyBorder="1" applyAlignment="1">
      <alignment horizontal="right" vertical="center" wrapText="1"/>
    </xf>
    <xf numFmtId="0" fontId="5" fillId="6" borderId="11" xfId="2" applyFont="1" applyFill="1" applyBorder="1" applyAlignment="1">
      <alignment horizontal="center" vertical="center"/>
    </xf>
    <xf numFmtId="10" fontId="8" fillId="6" borderId="11" xfId="3" applyNumberFormat="1" applyFont="1" applyFill="1" applyBorder="1" applyAlignment="1">
      <alignment horizontal="center" vertical="center" wrapText="1"/>
    </xf>
    <xf numFmtId="4" fontId="8" fillId="6" borderId="11" xfId="3" applyNumberFormat="1" applyFont="1" applyFill="1" applyBorder="1" applyAlignment="1">
      <alignment horizontal="right" vertical="center" wrapText="1"/>
    </xf>
    <xf numFmtId="171" fontId="8" fillId="6" borderId="12" xfId="3" applyNumberFormat="1" applyFont="1" applyFill="1" applyBorder="1" applyAlignment="1">
      <alignment horizontal="center" vertical="center" wrapText="1"/>
    </xf>
    <xf numFmtId="171" fontId="8" fillId="6" borderId="13" xfId="3" applyNumberFormat="1"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xf>
    <xf numFmtId="0" fontId="11" fillId="0" borderId="0" xfId="0" applyFont="1"/>
    <xf numFmtId="0" fontId="10" fillId="0" borderId="0" xfId="0" applyFont="1" applyAlignment="1">
      <alignment horizontal="right"/>
    </xf>
    <xf numFmtId="171" fontId="10" fillId="0" borderId="1" xfId="0" applyNumberFormat="1" applyFont="1" applyBorder="1" applyAlignment="1">
      <alignment horizontal="right"/>
    </xf>
    <xf numFmtId="171" fontId="10" fillId="0" borderId="0" xfId="0" applyNumberFormat="1" applyFont="1" applyAlignment="1">
      <alignment horizontal="right"/>
    </xf>
    <xf numFmtId="171" fontId="10" fillId="2" borderId="1" xfId="0" applyNumberFormat="1" applyFont="1" applyFill="1" applyBorder="1" applyAlignment="1">
      <alignment horizontal="right"/>
    </xf>
    <xf numFmtId="171" fontId="10" fillId="3" borderId="1" xfId="0" applyNumberFormat="1" applyFont="1" applyFill="1" applyBorder="1" applyAlignment="1">
      <alignment horizontal="right"/>
    </xf>
    <xf numFmtId="171" fontId="10" fillId="4" borderId="1" xfId="0" applyNumberFormat="1" applyFont="1" applyFill="1" applyBorder="1" applyAlignment="1">
      <alignment horizontal="right"/>
    </xf>
    <xf numFmtId="0" fontId="11" fillId="0" borderId="0" xfId="0" applyFont="1" applyAlignment="1">
      <alignment horizontal="right"/>
    </xf>
    <xf numFmtId="167" fontId="11" fillId="0" borderId="1" xfId="0" applyNumberFormat="1" applyFont="1" applyBorder="1" applyAlignment="1">
      <alignment horizontal="right"/>
    </xf>
    <xf numFmtId="0" fontId="13" fillId="8" borderId="1" xfId="2" applyFont="1" applyFill="1" applyBorder="1" applyAlignment="1">
      <alignment horizontal="center" vertical="center"/>
    </xf>
    <xf numFmtId="0" fontId="13" fillId="8"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164" fontId="14" fillId="9" borderId="1" xfId="0" applyNumberFormat="1" applyFont="1" applyFill="1" applyBorder="1" applyAlignment="1">
      <alignment horizontal="right" vertical="center" wrapText="1"/>
    </xf>
    <xf numFmtId="0" fontId="15" fillId="0" borderId="1" xfId="2" applyFont="1" applyBorder="1" applyAlignment="1">
      <alignment horizontal="center" vertical="center" wrapText="1"/>
    </xf>
    <xf numFmtId="0" fontId="16" fillId="0" borderId="1" xfId="0" applyFont="1" applyBorder="1" applyAlignment="1">
      <alignment vertical="center" wrapText="1"/>
    </xf>
    <xf numFmtId="0" fontId="17" fillId="0" borderId="1" xfId="2" applyFont="1" applyBorder="1" applyAlignment="1">
      <alignment horizontal="center" vertical="center" wrapText="1"/>
    </xf>
    <xf numFmtId="3" fontId="18" fillId="0" borderId="1" xfId="0" applyNumberFormat="1" applyFont="1" applyBorder="1" applyAlignment="1">
      <alignment horizontal="center" vertical="center"/>
    </xf>
    <xf numFmtId="172" fontId="18" fillId="0" borderId="1" xfId="0" applyNumberFormat="1" applyFont="1" applyBorder="1" applyAlignment="1">
      <alignment horizontal="center" vertical="center"/>
    </xf>
    <xf numFmtId="173" fontId="19" fillId="0" borderId="1" xfId="3" applyNumberFormat="1" applyFont="1" applyBorder="1" applyAlignment="1">
      <alignment horizontal="center" vertical="center" wrapText="1"/>
    </xf>
    <xf numFmtId="0" fontId="20" fillId="0" borderId="0" xfId="0" applyFont="1" applyAlignment="1">
      <alignment vertical="center" wrapText="1"/>
    </xf>
    <xf numFmtId="0" fontId="14" fillId="1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3" fontId="18" fillId="11" borderId="1" xfId="0" applyNumberFormat="1" applyFont="1" applyFill="1" applyBorder="1" applyAlignment="1">
      <alignment horizontal="center" vertical="center" wrapText="1"/>
    </xf>
    <xf numFmtId="165" fontId="18" fillId="0" borderId="1" xfId="0" applyNumberFormat="1" applyFont="1" applyBorder="1" applyAlignment="1">
      <alignment horizontal="right" vertical="center"/>
    </xf>
    <xf numFmtId="164" fontId="18" fillId="0" borderId="1" xfId="0" applyNumberFormat="1" applyFont="1" applyBorder="1" applyAlignment="1">
      <alignment horizontal="right" vertical="center"/>
    </xf>
    <xf numFmtId="164" fontId="18" fillId="9" borderId="1" xfId="0" applyNumberFormat="1" applyFont="1" applyFill="1" applyBorder="1" applyAlignment="1">
      <alignment horizontal="right" vertical="center"/>
    </xf>
    <xf numFmtId="0" fontId="18" fillId="0" borderId="1" xfId="0" applyFont="1" applyBorder="1" applyAlignment="1">
      <alignment horizontal="right" vertical="center" wrapText="1"/>
    </xf>
    <xf numFmtId="10" fontId="18" fillId="0" borderId="1" xfId="1" applyNumberFormat="1" applyFont="1" applyBorder="1" applyAlignment="1">
      <alignment horizontal="center" vertical="center" wrapText="1"/>
    </xf>
    <xf numFmtId="167" fontId="18" fillId="0" borderId="1" xfId="0" applyNumberFormat="1" applyFont="1" applyBorder="1" applyAlignment="1">
      <alignment horizontal="right" vertical="center"/>
    </xf>
    <xf numFmtId="9" fontId="18" fillId="0" borderId="1" xfId="0" applyNumberFormat="1" applyFont="1" applyBorder="1" applyAlignment="1">
      <alignment horizontal="center" vertical="center" wrapText="1"/>
    </xf>
    <xf numFmtId="164" fontId="18" fillId="7" borderId="1" xfId="0" applyNumberFormat="1" applyFont="1" applyFill="1" applyBorder="1" applyAlignment="1">
      <alignment horizontal="right" vertical="center" wrapText="1"/>
    </xf>
    <xf numFmtId="0" fontId="12"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21" fillId="0" borderId="1" xfId="0" applyFont="1" applyBorder="1" applyAlignment="1">
      <alignment horizontal="center" vertical="center" wrapText="1"/>
    </xf>
    <xf numFmtId="173" fontId="22" fillId="11" borderId="1" xfId="0" applyNumberFormat="1" applyFont="1" applyFill="1" applyBorder="1" applyAlignment="1">
      <alignment horizontal="center" vertical="center" wrapText="1"/>
    </xf>
    <xf numFmtId="165" fontId="23" fillId="11" borderId="1" xfId="0" applyNumberFormat="1" applyFont="1" applyFill="1" applyBorder="1" applyAlignment="1">
      <alignment horizontal="center" vertical="center" wrapText="1"/>
    </xf>
    <xf numFmtId="165" fontId="22" fillId="11" borderId="1" xfId="0" applyNumberFormat="1" applyFont="1" applyFill="1" applyBorder="1" applyAlignment="1">
      <alignment horizontal="right" vertical="center" wrapText="1"/>
    </xf>
    <xf numFmtId="173" fontId="24" fillId="12" borderId="1" xfId="0"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9" fontId="0" fillId="0" borderId="0" xfId="1" applyFont="1" applyAlignment="1">
      <alignment horizontal="center"/>
    </xf>
    <xf numFmtId="165" fontId="0" fillId="0" borderId="0" xfId="0" applyNumberFormat="1"/>
    <xf numFmtId="167" fontId="2" fillId="13" borderId="0" xfId="0" applyNumberFormat="1" applyFont="1" applyFill="1" applyAlignment="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0" applyFont="1" applyBorder="1"/>
    <xf numFmtId="168" fontId="27" fillId="2"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67" fontId="6" fillId="4" borderId="1" xfId="0" applyNumberFormat="1" applyFont="1" applyFill="1" applyBorder="1"/>
    <xf numFmtId="168" fontId="6" fillId="3" borderId="1" xfId="0" applyNumberFormat="1" applyFont="1" applyFill="1" applyBorder="1" applyAlignment="1">
      <alignment horizontal="center" vertical="center"/>
    </xf>
    <xf numFmtId="167" fontId="0" fillId="0" borderId="0" xfId="0" applyNumberFormat="1"/>
    <xf numFmtId="1" fontId="3" fillId="2" borderId="1" xfId="0" applyNumberFormat="1" applyFont="1" applyFill="1" applyBorder="1" applyAlignment="1">
      <alignment horizontal="center" vertical="center"/>
    </xf>
    <xf numFmtId="167" fontId="3" fillId="2" borderId="1" xfId="0" applyNumberFormat="1" applyFont="1" applyFill="1" applyBorder="1"/>
    <xf numFmtId="167" fontId="6" fillId="0" borderId="1" xfId="0" applyNumberFormat="1" applyFont="1" applyBorder="1"/>
    <xf numFmtId="0" fontId="4" fillId="0" borderId="1" xfId="0" applyFont="1" applyBorder="1" applyAlignment="1">
      <alignment horizontal="center" vertical="center" wrapText="1"/>
    </xf>
    <xf numFmtId="167" fontId="6" fillId="0" borderId="1" xfId="0" applyNumberFormat="1" applyFont="1" applyBorder="1" applyAlignment="1">
      <alignment horizontal="center" vertical="center"/>
    </xf>
    <xf numFmtId="167" fontId="4" fillId="0" borderId="1"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4" fillId="13" borderId="1" xfId="0" applyFont="1" applyFill="1" applyBorder="1" applyAlignment="1">
      <alignment horizontal="center" vertical="center" wrapText="1"/>
    </xf>
    <xf numFmtId="0" fontId="0" fillId="14" borderId="0" xfId="0" applyFill="1"/>
    <xf numFmtId="0" fontId="0" fillId="4" borderId="0" xfId="0" applyFill="1"/>
    <xf numFmtId="167" fontId="6" fillId="4" borderId="1" xfId="0" applyNumberFormat="1" applyFont="1" applyFill="1" applyBorder="1" applyAlignment="1">
      <alignment horizontal="center" vertical="center"/>
    </xf>
    <xf numFmtId="167" fontId="5" fillId="0" borderId="1" xfId="0" applyNumberFormat="1" applyFont="1" applyBorder="1" applyAlignment="1">
      <alignment horizontal="center" vertical="center"/>
    </xf>
    <xf numFmtId="0" fontId="11" fillId="0" borderId="0" xfId="0" applyFont="1" applyAlignment="1">
      <alignment wrapText="1"/>
    </xf>
    <xf numFmtId="0" fontId="11" fillId="0" borderId="0" xfId="0" applyFont="1" applyAlignment="1">
      <alignment horizontal="center" vertical="center"/>
    </xf>
    <xf numFmtId="0" fontId="0" fillId="15" borderId="0" xfId="0" applyFill="1"/>
    <xf numFmtId="167" fontId="0" fillId="15" borderId="0" xfId="0" applyNumberFormat="1" applyFill="1"/>
    <xf numFmtId="0" fontId="10" fillId="0" borderId="0" xfId="0" applyFont="1" applyAlignment="1">
      <alignment horizontal="center"/>
    </xf>
    <xf numFmtId="0" fontId="3" fillId="0" borderId="0" xfId="0" applyFont="1" applyAlignment="1">
      <alignment horizontal="center" vertical="center" wrapText="1"/>
    </xf>
    <xf numFmtId="0" fontId="0" fillId="16" borderId="0" xfId="0" applyFill="1" applyAlignment="1">
      <alignment wrapText="1"/>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11" fillId="4" borderId="0" xfId="0" applyFont="1" applyFill="1"/>
    <xf numFmtId="168" fontId="6" fillId="4" borderId="1" xfId="0" applyNumberFormat="1" applyFont="1" applyFill="1" applyBorder="1" applyAlignment="1">
      <alignment horizontal="center" vertical="center"/>
    </xf>
    <xf numFmtId="0" fontId="5" fillId="15" borderId="1" xfId="0" applyFont="1" applyFill="1" applyBorder="1" applyAlignment="1">
      <alignment horizontal="center" vertical="center"/>
    </xf>
    <xf numFmtId="0" fontId="6" fillId="15" borderId="1"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6" fillId="4" borderId="0" xfId="0" applyFont="1" applyFill="1" applyAlignment="1">
      <alignment horizontal="center" vertical="center"/>
    </xf>
    <xf numFmtId="0" fontId="5" fillId="4" borderId="0" xfId="0" applyFont="1" applyFill="1" applyAlignment="1">
      <alignment horizontal="center" vertical="center"/>
    </xf>
    <xf numFmtId="167" fontId="6" fillId="0" borderId="0" xfId="0" applyNumberFormat="1" applyFont="1" applyAlignment="1">
      <alignment horizontal="center" vertical="center"/>
    </xf>
    <xf numFmtId="167" fontId="4" fillId="0" borderId="0" xfId="0" applyNumberFormat="1" applyFont="1" applyAlignment="1">
      <alignment horizontal="center" vertical="center"/>
    </xf>
    <xf numFmtId="0" fontId="4" fillId="0" borderId="1" xfId="0" applyFont="1" applyBorder="1" applyAlignment="1">
      <alignment horizontal="left" vertical="center"/>
    </xf>
    <xf numFmtId="166" fontId="10" fillId="0" borderId="1" xfId="4" applyFont="1" applyBorder="1" applyAlignment="1">
      <alignment horizontal="right"/>
    </xf>
    <xf numFmtId="166" fontId="8" fillId="6" borderId="4" xfId="4" applyFont="1" applyFill="1" applyBorder="1" applyAlignment="1" applyProtection="1">
      <alignment horizontal="center" vertical="center" wrapText="1"/>
    </xf>
    <xf numFmtId="166" fontId="8" fillId="6" borderId="0" xfId="4" applyFont="1" applyFill="1" applyBorder="1" applyAlignment="1" applyProtection="1">
      <alignment horizontal="center" vertical="center" wrapText="1"/>
    </xf>
    <xf numFmtId="166" fontId="8" fillId="6" borderId="8" xfId="4" applyFont="1" applyFill="1" applyBorder="1" applyAlignment="1" applyProtection="1">
      <alignment horizontal="center" vertical="center" wrapText="1"/>
    </xf>
    <xf numFmtId="166" fontId="8" fillId="6" borderId="12" xfId="4" applyFont="1" applyFill="1" applyBorder="1" applyAlignment="1" applyProtection="1">
      <alignment horizontal="center" vertical="center" wrapText="1"/>
    </xf>
    <xf numFmtId="166" fontId="10" fillId="17" borderId="0" xfId="4" applyFont="1" applyFill="1" applyBorder="1" applyAlignment="1">
      <alignment horizontal="right"/>
    </xf>
    <xf numFmtId="167" fontId="0" fillId="17" borderId="0" xfId="0" applyNumberFormat="1" applyFill="1"/>
    <xf numFmtId="167" fontId="0" fillId="0" borderId="1" xfId="0" applyNumberFormat="1" applyBorder="1"/>
    <xf numFmtId="166" fontId="0" fillId="0" borderId="1" xfId="4" applyFont="1" applyBorder="1"/>
    <xf numFmtId="0" fontId="4" fillId="18" borderId="1" xfId="0" applyFont="1" applyFill="1" applyBorder="1" applyAlignment="1">
      <alignment wrapText="1"/>
    </xf>
    <xf numFmtId="0" fontId="4" fillId="13" borderId="1" xfId="0" applyFont="1" applyFill="1" applyBorder="1" applyAlignment="1">
      <alignment wrapText="1"/>
    </xf>
    <xf numFmtId="167" fontId="0" fillId="19" borderId="1" xfId="0" applyNumberFormat="1" applyFill="1" applyBorder="1"/>
    <xf numFmtId="43" fontId="0" fillId="0" borderId="0" xfId="5" applyFont="1"/>
    <xf numFmtId="0" fontId="4" fillId="19" borderId="1" xfId="0" applyFont="1" applyFill="1" applyBorder="1" applyAlignment="1">
      <alignment vertical="center" wrapText="1"/>
    </xf>
    <xf numFmtId="0" fontId="4" fillId="0" borderId="0" xfId="0" applyFont="1" applyAlignment="1">
      <alignment horizontal="center" vertical="center" wrapText="1"/>
    </xf>
    <xf numFmtId="1" fontId="4" fillId="0" borderId="1" xfId="0" applyNumberFormat="1" applyFont="1" applyBorder="1" applyAlignment="1">
      <alignment horizontal="center" vertical="center"/>
    </xf>
    <xf numFmtId="0" fontId="4" fillId="19" borderId="1" xfId="0" applyFont="1" applyFill="1" applyBorder="1" applyAlignment="1">
      <alignment horizontal="center" vertical="center" wrapText="1"/>
    </xf>
    <xf numFmtId="43" fontId="0" fillId="0" borderId="0" xfId="0" applyNumberFormat="1"/>
    <xf numFmtId="44" fontId="11" fillId="19" borderId="0" xfId="0" applyNumberFormat="1" applyFont="1" applyFill="1"/>
    <xf numFmtId="0" fontId="4" fillId="20" borderId="1" xfId="0" applyFont="1" applyFill="1" applyBorder="1" applyAlignment="1">
      <alignment horizontal="center" vertical="center" wrapText="1"/>
    </xf>
    <xf numFmtId="0" fontId="30" fillId="0" borderId="0" xfId="0" applyFont="1" applyAlignment="1">
      <alignment wrapText="1"/>
    </xf>
    <xf numFmtId="167" fontId="5" fillId="19" borderId="1" xfId="0" applyNumberFormat="1" applyFont="1" applyFill="1" applyBorder="1"/>
    <xf numFmtId="41" fontId="21" fillId="0" borderId="0" xfId="6" applyFont="1" applyFill="1" applyAlignment="1">
      <alignment vertical="center"/>
    </xf>
    <xf numFmtId="9" fontId="21" fillId="0" borderId="0" xfId="1" applyFont="1" applyFill="1" applyAlignment="1">
      <alignment vertical="center"/>
    </xf>
    <xf numFmtId="41" fontId="21" fillId="0" borderId="0" xfId="6" applyFont="1" applyAlignment="1">
      <alignment vertical="center"/>
    </xf>
    <xf numFmtId="41" fontId="12" fillId="0" borderId="0" xfId="6" applyFont="1" applyFill="1" applyBorder="1" applyAlignment="1">
      <alignment horizontal="center" vertical="center"/>
    </xf>
    <xf numFmtId="174" fontId="21" fillId="0" borderId="0" xfId="6" applyNumberFormat="1" applyFont="1" applyFill="1" applyBorder="1" applyAlignment="1">
      <alignment horizontal="center" vertical="center"/>
    </xf>
    <xf numFmtId="174" fontId="21" fillId="0" borderId="0" xfId="6" applyNumberFormat="1" applyFont="1" applyFill="1" applyBorder="1" applyAlignment="1">
      <alignment vertical="center"/>
    </xf>
    <xf numFmtId="41" fontId="21" fillId="0" borderId="0" xfId="6" applyFont="1" applyAlignment="1">
      <alignment horizontal="left" vertical="center"/>
    </xf>
    <xf numFmtId="41" fontId="21" fillId="0" borderId="0" xfId="6" applyFont="1" applyBorder="1" applyAlignment="1">
      <alignment vertical="center"/>
    </xf>
    <xf numFmtId="174" fontId="21" fillId="0" borderId="0" xfId="7" applyNumberFormat="1" applyFont="1" applyBorder="1" applyAlignment="1">
      <alignment horizontal="center" vertical="center"/>
    </xf>
    <xf numFmtId="0" fontId="35" fillId="0" borderId="0" xfId="0" applyFont="1" applyAlignment="1">
      <alignment horizontal="center" vertical="center" wrapText="1"/>
    </xf>
    <xf numFmtId="41" fontId="21" fillId="0" borderId="0" xfId="6" applyFont="1" applyAlignment="1">
      <alignment horizontal="right" vertical="center"/>
    </xf>
    <xf numFmtId="41" fontId="34" fillId="0" borderId="0" xfId="6" applyFont="1" applyAlignment="1">
      <alignment vertical="center"/>
    </xf>
    <xf numFmtId="41" fontId="36" fillId="0" borderId="0" xfId="6" applyFont="1" applyFill="1" applyBorder="1" applyAlignment="1">
      <alignment vertical="center"/>
    </xf>
    <xf numFmtId="41" fontId="37" fillId="0" borderId="0" xfId="6" applyFont="1" applyFill="1" applyBorder="1" applyAlignment="1">
      <alignment vertical="center"/>
    </xf>
    <xf numFmtId="41" fontId="37" fillId="0" borderId="0" xfId="0" applyNumberFormat="1" applyFont="1" applyAlignment="1">
      <alignment vertical="center" wrapText="1"/>
    </xf>
    <xf numFmtId="9" fontId="36" fillId="0" borderId="0" xfId="6" applyNumberFormat="1" applyFont="1" applyFill="1" applyBorder="1" applyAlignment="1">
      <alignment vertical="center"/>
    </xf>
    <xf numFmtId="175" fontId="36" fillId="0" borderId="0" xfId="6" applyNumberFormat="1" applyFont="1" applyFill="1" applyBorder="1" applyAlignment="1">
      <alignment vertical="center"/>
    </xf>
    <xf numFmtId="41" fontId="37" fillId="0" borderId="0" xfId="6" applyFont="1" applyFill="1" applyBorder="1" applyAlignment="1">
      <alignment horizontal="center" vertical="center" wrapText="1"/>
    </xf>
    <xf numFmtId="41" fontId="12" fillId="0" borderId="0" xfId="6" applyFont="1" applyFill="1" applyBorder="1" applyAlignment="1">
      <alignment horizontal="center" vertical="center" wrapText="1"/>
    </xf>
    <xf numFmtId="174" fontId="21" fillId="0" borderId="0" xfId="6" applyNumberFormat="1" applyFont="1" applyFill="1" applyAlignment="1">
      <alignment vertical="center"/>
    </xf>
    <xf numFmtId="0" fontId="25" fillId="2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165" fontId="23" fillId="11" borderId="1" xfId="0" applyNumberFormat="1" applyFont="1" applyFill="1" applyBorder="1" applyAlignment="1">
      <alignment horizontal="center" vertical="center"/>
    </xf>
    <xf numFmtId="0" fontId="25" fillId="24" borderId="1" xfId="0" applyFont="1" applyFill="1" applyBorder="1" applyAlignment="1">
      <alignment horizontal="center" vertical="center" wrapText="1"/>
    </xf>
    <xf numFmtId="165" fontId="23" fillId="24" borderId="1" xfId="0" applyNumberFormat="1" applyFont="1" applyFill="1" applyBorder="1" applyAlignment="1">
      <alignment horizontal="center" vertical="center" wrapText="1"/>
    </xf>
    <xf numFmtId="8" fontId="0" fillId="0" borderId="0" xfId="0" applyNumberFormat="1"/>
    <xf numFmtId="164" fontId="23" fillId="11" borderId="1"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xf>
    <xf numFmtId="165" fontId="25" fillId="23" borderId="1" xfId="0" applyNumberFormat="1" applyFont="1" applyFill="1" applyBorder="1" applyAlignment="1">
      <alignment horizontal="center" vertical="center" wrapText="1"/>
    </xf>
    <xf numFmtId="164" fontId="23" fillId="0" borderId="1" xfId="0" applyNumberFormat="1" applyFont="1" applyBorder="1" applyAlignment="1">
      <alignment horizontal="center" vertical="center" wrapText="1"/>
    </xf>
    <xf numFmtId="0" fontId="32" fillId="10" borderId="17" xfId="0" applyFont="1" applyFill="1" applyBorder="1" applyAlignment="1">
      <alignment horizontal="left" vertical="center" wrapText="1" indent="3"/>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34" fillId="0" borderId="1" xfId="0" applyFont="1" applyBorder="1" applyAlignment="1">
      <alignment vertical="center" wrapText="1"/>
    </xf>
    <xf numFmtId="0" fontId="34" fillId="0" borderId="1" xfId="0" applyFont="1" applyBorder="1" applyAlignment="1">
      <alignment horizontal="left" vertical="center" wrapText="1"/>
    </xf>
    <xf numFmtId="0" fontId="32" fillId="10" borderId="31" xfId="0" applyFont="1" applyFill="1" applyBorder="1" applyAlignment="1">
      <alignment vertical="center" wrapText="1"/>
    </xf>
    <xf numFmtId="0" fontId="12" fillId="10" borderId="31" xfId="0" applyFont="1" applyFill="1" applyBorder="1" applyAlignment="1">
      <alignment vertical="center" wrapText="1"/>
    </xf>
    <xf numFmtId="41" fontId="32" fillId="24" borderId="1" xfId="6" applyFont="1" applyFill="1" applyBorder="1" applyAlignment="1">
      <alignment horizontal="center" vertical="center"/>
    </xf>
    <xf numFmtId="174" fontId="32" fillId="3" borderId="1" xfId="6" applyNumberFormat="1" applyFont="1" applyFill="1" applyBorder="1" applyAlignment="1">
      <alignment horizontal="right" vertical="center"/>
    </xf>
    <xf numFmtId="0" fontId="32" fillId="3" borderId="1" xfId="0" applyFont="1" applyFill="1" applyBorder="1" applyAlignment="1">
      <alignment horizontal="left" vertical="center" wrapText="1"/>
    </xf>
    <xf numFmtId="41" fontId="34" fillId="0" borderId="0" xfId="6" applyFont="1" applyFill="1" applyAlignment="1">
      <alignment vertical="center"/>
    </xf>
    <xf numFmtId="164" fontId="32" fillId="3" borderId="1" xfId="6" applyNumberFormat="1" applyFont="1" applyFill="1" applyBorder="1" applyAlignment="1">
      <alignment horizontal="right" vertical="center" wrapText="1"/>
    </xf>
    <xf numFmtId="41" fontId="34" fillId="0" borderId="0" xfId="6" applyFont="1" applyAlignment="1">
      <alignment horizontal="right" vertical="center"/>
    </xf>
    <xf numFmtId="41" fontId="40" fillId="3" borderId="14" xfId="6" applyFont="1" applyFill="1" applyBorder="1" applyAlignment="1">
      <alignment horizontal="center" vertical="center" wrapText="1"/>
    </xf>
    <xf numFmtId="0" fontId="40" fillId="3" borderId="1" xfId="0" applyFont="1" applyFill="1" applyBorder="1" applyAlignment="1">
      <alignment horizontal="center" vertical="center" wrapText="1"/>
    </xf>
    <xf numFmtId="9" fontId="21" fillId="0" borderId="0" xfId="1" applyFont="1" applyFill="1" applyAlignment="1">
      <alignment horizontal="right" vertical="center"/>
    </xf>
    <xf numFmtId="174" fontId="34" fillId="21" borderId="1" xfId="6" applyNumberFormat="1" applyFont="1" applyFill="1" applyBorder="1" applyAlignment="1">
      <alignment horizontal="right" vertical="center"/>
    </xf>
    <xf numFmtId="41" fontId="32" fillId="10" borderId="34" xfId="0" applyNumberFormat="1" applyFont="1" applyFill="1" applyBorder="1" applyAlignment="1">
      <alignment horizontal="right" vertical="center" wrapText="1"/>
    </xf>
    <xf numFmtId="164" fontId="23" fillId="0" borderId="1" xfId="0" applyNumberFormat="1" applyFont="1" applyBorder="1" applyAlignment="1">
      <alignment horizontal="right" vertical="center" wrapText="1"/>
    </xf>
    <xf numFmtId="0" fontId="34" fillId="0" borderId="0" xfId="0" applyFont="1" applyAlignment="1">
      <alignment vertical="top" wrapText="1"/>
    </xf>
    <xf numFmtId="0" fontId="34" fillId="0" borderId="0" xfId="0" applyFont="1" applyBorder="1" applyAlignment="1">
      <alignment horizontal="center" vertical="center" wrapText="1"/>
    </xf>
    <xf numFmtId="0" fontId="34" fillId="0" borderId="0" xfId="0" applyFont="1" applyBorder="1" applyAlignment="1">
      <alignment horizontal="left" vertical="center" wrapText="1"/>
    </xf>
    <xf numFmtId="10" fontId="21" fillId="0" borderId="0" xfId="0" applyNumberFormat="1" applyFont="1" applyBorder="1" applyAlignment="1">
      <alignment horizontal="center" vertical="center" wrapText="1"/>
    </xf>
    <xf numFmtId="41" fontId="34" fillId="0" borderId="0" xfId="6" applyFont="1" applyBorder="1" applyAlignment="1">
      <alignment horizontal="right" vertical="center"/>
    </xf>
    <xf numFmtId="0" fontId="32" fillId="10" borderId="1" xfId="0" applyFont="1" applyFill="1" applyBorder="1" applyAlignment="1">
      <alignment horizontal="center" vertical="center" wrapText="1"/>
    </xf>
    <xf numFmtId="164" fontId="32" fillId="5" borderId="1" xfId="6" applyNumberFormat="1" applyFont="1" applyFill="1" applyBorder="1" applyAlignment="1">
      <alignment horizontal="right" vertical="center"/>
    </xf>
    <xf numFmtId="0" fontId="32" fillId="10" borderId="14" xfId="0" applyFont="1" applyFill="1" applyBorder="1" applyAlignment="1">
      <alignment vertical="center" wrapText="1"/>
    </xf>
    <xf numFmtId="41" fontId="21" fillId="0" borderId="0" xfId="6" applyFont="1" applyFill="1" applyBorder="1" applyAlignment="1">
      <alignment vertical="center"/>
    </xf>
    <xf numFmtId="174" fontId="34" fillId="21" borderId="0" xfId="6" applyNumberFormat="1" applyFont="1" applyFill="1" applyBorder="1" applyAlignment="1">
      <alignment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2" fillId="12" borderId="1" xfId="0" applyFont="1" applyFill="1" applyBorder="1" applyAlignment="1">
      <alignment horizontal="center" vertical="center" wrapText="1"/>
    </xf>
    <xf numFmtId="165" fontId="12" fillId="1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 xfId="0" applyFont="1" applyBorder="1" applyAlignment="1">
      <alignment horizontal="justify" vertical="center" wrapText="1"/>
    </xf>
    <xf numFmtId="0" fontId="12" fillId="7"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2" fillId="10" borderId="14" xfId="0" applyFont="1" applyFill="1" applyBorder="1" applyAlignment="1">
      <alignment horizontal="center" vertical="center" wrapText="1"/>
    </xf>
    <xf numFmtId="0" fontId="32" fillId="10" borderId="15" xfId="0" applyFont="1" applyFill="1" applyBorder="1" applyAlignment="1">
      <alignment horizontal="center" vertical="center" wrapText="1"/>
    </xf>
    <xf numFmtId="0" fontId="32" fillId="10" borderId="16" xfId="0" applyFont="1" applyFill="1" applyBorder="1" applyAlignment="1">
      <alignment horizontal="center" vertical="center" wrapText="1"/>
    </xf>
    <xf numFmtId="41" fontId="21" fillId="0" borderId="0" xfId="6" applyFont="1" applyAlignment="1">
      <alignment horizontal="center" vertical="center"/>
    </xf>
    <xf numFmtId="41" fontId="21" fillId="0" borderId="0" xfId="6" applyFont="1" applyFill="1" applyBorder="1" applyAlignment="1">
      <alignment horizontal="center" vertical="center"/>
    </xf>
    <xf numFmtId="0" fontId="34" fillId="0" borderId="27" xfId="0" applyFont="1" applyBorder="1" applyAlignment="1">
      <alignment horizontal="left" vertical="top" wrapText="1"/>
    </xf>
    <xf numFmtId="0" fontId="34" fillId="0" borderId="35" xfId="0" applyFont="1" applyBorder="1" applyAlignment="1">
      <alignment horizontal="left" vertical="top" wrapText="1"/>
    </xf>
    <xf numFmtId="0" fontId="34" fillId="0" borderId="28" xfId="0" applyFont="1" applyBorder="1" applyAlignment="1">
      <alignment horizontal="left" vertical="top" wrapText="1"/>
    </xf>
    <xf numFmtId="0" fontId="38" fillId="17" borderId="36" xfId="0" applyFont="1" applyFill="1" applyBorder="1" applyAlignment="1">
      <alignment horizontal="center" vertical="center" wrapText="1"/>
    </xf>
    <xf numFmtId="0" fontId="38" fillId="17" borderId="37" xfId="0" applyFont="1" applyFill="1" applyBorder="1" applyAlignment="1">
      <alignment horizontal="center" vertical="center" wrapText="1"/>
    </xf>
    <xf numFmtId="0" fontId="38" fillId="17" borderId="38" xfId="0" applyFont="1" applyFill="1" applyBorder="1" applyAlignment="1">
      <alignment horizontal="center" vertical="center" wrapText="1"/>
    </xf>
    <xf numFmtId="41" fontId="33" fillId="0" borderId="14" xfId="6" applyFont="1" applyBorder="1" applyAlignment="1">
      <alignment horizontal="left" vertical="center" wrapText="1"/>
    </xf>
    <xf numFmtId="41" fontId="33" fillId="0" borderId="15" xfId="6" applyFont="1" applyBorder="1" applyAlignment="1">
      <alignment horizontal="left" vertical="center" wrapText="1"/>
    </xf>
    <xf numFmtId="41" fontId="33" fillId="0" borderId="16" xfId="6" applyFont="1" applyBorder="1" applyAlignment="1">
      <alignment horizontal="left" vertical="center" wrapText="1"/>
    </xf>
    <xf numFmtId="0" fontId="31" fillId="5" borderId="33"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4" borderId="17" xfId="0" applyFont="1" applyFill="1" applyBorder="1" applyAlignment="1">
      <alignment horizontal="left" vertical="center" wrapText="1"/>
    </xf>
    <xf numFmtId="0" fontId="31" fillId="4" borderId="31" xfId="0" applyFont="1" applyFill="1" applyBorder="1" applyAlignment="1">
      <alignment horizontal="left" vertical="center" wrapText="1"/>
    </xf>
    <xf numFmtId="0" fontId="31" fillId="4" borderId="18" xfId="0" applyFont="1" applyFill="1" applyBorder="1" applyAlignment="1">
      <alignment horizontal="left" vertical="center" wrapText="1"/>
    </xf>
    <xf numFmtId="0" fontId="31" fillId="4" borderId="19"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20" xfId="0" applyFont="1" applyFill="1" applyBorder="1" applyAlignment="1">
      <alignment horizontal="left" vertical="center" wrapText="1"/>
    </xf>
    <xf numFmtId="41" fontId="32" fillId="24" borderId="14" xfId="6" applyFont="1" applyFill="1" applyBorder="1" applyAlignment="1">
      <alignment horizontal="center" vertical="center"/>
    </xf>
    <xf numFmtId="41" fontId="32" fillId="24" borderId="15" xfId="6" applyFont="1" applyFill="1" applyBorder="1" applyAlignment="1">
      <alignment horizontal="center" vertical="center"/>
    </xf>
    <xf numFmtId="41" fontId="32" fillId="24" borderId="16" xfId="6" applyFont="1" applyFill="1" applyBorder="1" applyAlignment="1">
      <alignment horizontal="center" vertical="center"/>
    </xf>
    <xf numFmtId="41" fontId="32" fillId="3" borderId="14" xfId="6" applyFont="1" applyFill="1" applyBorder="1" applyAlignment="1">
      <alignment horizontal="left" vertical="center" wrapText="1"/>
    </xf>
    <xf numFmtId="41" fontId="32" fillId="3" borderId="15" xfId="6" applyFont="1" applyFill="1" applyBorder="1" applyAlignment="1">
      <alignment horizontal="left" vertical="center" wrapText="1"/>
    </xf>
    <xf numFmtId="41" fontId="32" fillId="3" borderId="16" xfId="6" applyFont="1" applyFill="1" applyBorder="1" applyAlignment="1">
      <alignment horizontal="left" vertical="center" wrapText="1"/>
    </xf>
    <xf numFmtId="0" fontId="33" fillId="0" borderId="14" xfId="6" applyNumberFormat="1" applyFont="1" applyBorder="1" applyAlignment="1">
      <alignment horizontal="left" vertical="center" wrapText="1"/>
    </xf>
    <xf numFmtId="0" fontId="33" fillId="0" borderId="15" xfId="6" applyNumberFormat="1" applyFont="1" applyBorder="1" applyAlignment="1">
      <alignment horizontal="left" vertical="center" wrapText="1"/>
    </xf>
    <xf numFmtId="0" fontId="33" fillId="0" borderId="16" xfId="6" applyNumberFormat="1" applyFont="1" applyBorder="1" applyAlignment="1">
      <alignment horizontal="left" vertical="center" wrapText="1"/>
    </xf>
    <xf numFmtId="0" fontId="39" fillId="3" borderId="14" xfId="0" applyFont="1" applyFill="1" applyBorder="1" applyAlignment="1">
      <alignment horizontal="left" vertical="center" wrapText="1"/>
    </xf>
    <xf numFmtId="0" fontId="39" fillId="3" borderId="15"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4" fillId="0" borderId="0" xfId="0" applyFont="1" applyBorder="1" applyAlignment="1">
      <alignment horizontal="center" vertical="center" wrapText="1"/>
    </xf>
    <xf numFmtId="41" fontId="34" fillId="0" borderId="27" xfId="6" applyFont="1" applyBorder="1" applyAlignment="1">
      <alignment horizontal="left" vertical="center" wrapText="1"/>
    </xf>
    <xf numFmtId="41" fontId="34" fillId="0" borderId="35" xfId="6" applyFont="1" applyBorder="1" applyAlignment="1">
      <alignment horizontal="left" vertical="center" wrapText="1"/>
    </xf>
    <xf numFmtId="41" fontId="34" fillId="0" borderId="28" xfId="6" applyFont="1" applyBorder="1" applyAlignment="1">
      <alignment horizontal="left" vertical="center" wrapText="1"/>
    </xf>
    <xf numFmtId="49" fontId="12" fillId="22" borderId="0" xfId="0" applyNumberFormat="1" applyFont="1" applyFill="1" applyAlignment="1">
      <alignment horizontal="center" vertical="center" wrapText="1"/>
    </xf>
    <xf numFmtId="0" fontId="25" fillId="24" borderId="14"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3" borderId="1" xfId="0" applyFont="1" applyFill="1" applyBorder="1" applyAlignment="1">
      <alignment horizontal="center" vertical="center" wrapText="1"/>
    </xf>
    <xf numFmtId="0" fontId="42" fillId="0" borderId="1" xfId="0" applyFont="1" applyBorder="1" applyAlignment="1">
      <alignment horizontal="left" vertical="center" wrapText="1"/>
    </xf>
  </cellXfs>
  <cellStyles count="8">
    <cellStyle name="Excel Built-in Normal" xfId="2" xr:uid="{00000000-0005-0000-0000-000000000000}"/>
    <cellStyle name="Millares" xfId="5" builtinId="3"/>
    <cellStyle name="Millares [0]" xfId="6" builtinId="6"/>
    <cellStyle name="Millares 2" xfId="3" xr:uid="{00000000-0005-0000-0000-000003000000}"/>
    <cellStyle name="Moneda" xfId="4" builtinId="4"/>
    <cellStyle name="Moneda [0] 2" xfId="7" xr:uid="{00000000-0005-0000-0000-000005000000}"/>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17</xdr:col>
      <xdr:colOff>636598</xdr:colOff>
      <xdr:row>27</xdr:row>
      <xdr:rowOff>169334</xdr:rowOff>
    </xdr:from>
    <xdr:to>
      <xdr:col>21</xdr:col>
      <xdr:colOff>188384</xdr:colOff>
      <xdr:row>33</xdr:row>
      <xdr:rowOff>63503</xdr:rowOff>
    </xdr:to>
    <xdr:pic>
      <xdr:nvPicPr>
        <xdr:cNvPr id="2" name="Imagen 1" descr="CARCAMOS EN CONCRETO - MUNDO PREFABRICADOS S.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2681" y="8117417"/>
          <a:ext cx="2599786" cy="1471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638527</xdr:colOff>
      <xdr:row>38</xdr:row>
      <xdr:rowOff>137582</xdr:rowOff>
    </xdr:from>
    <xdr:to>
      <xdr:col>21</xdr:col>
      <xdr:colOff>222251</xdr:colOff>
      <xdr:row>52</xdr:row>
      <xdr:rowOff>15875</xdr:rowOff>
    </xdr:to>
    <xdr:pic>
      <xdr:nvPicPr>
        <xdr:cNvPr id="4" name="Imagen 3" descr="TOPE-LLANTAS EN CONCRETO - MUNDO PREFABRICADOS S.A.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2610" y="10128249"/>
          <a:ext cx="3393724" cy="254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657270</xdr:colOff>
      <xdr:row>15</xdr:row>
      <xdr:rowOff>95251</xdr:rowOff>
    </xdr:from>
    <xdr:to>
      <xdr:col>21</xdr:col>
      <xdr:colOff>275167</xdr:colOff>
      <xdr:row>16</xdr:row>
      <xdr:rowOff>102905</xdr:rowOff>
    </xdr:to>
    <xdr:pic>
      <xdr:nvPicPr>
        <xdr:cNvPr id="6" name="Imagen 5" descr="Adoquín en concreto - tráfico pesado - prefabricados de calidad">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47353" y="1809751"/>
          <a:ext cx="1141897" cy="653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105834</xdr:colOff>
      <xdr:row>14</xdr:row>
      <xdr:rowOff>42334</xdr:rowOff>
    </xdr:from>
    <xdr:to>
      <xdr:col>21</xdr:col>
      <xdr:colOff>402167</xdr:colOff>
      <xdr:row>15</xdr:row>
      <xdr:rowOff>312209</xdr:rowOff>
    </xdr:to>
    <xdr:pic>
      <xdr:nvPicPr>
        <xdr:cNvPr id="12" name="Imagen 11" descr="Gramoquines - Prefabricados Omeg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57917" y="941917"/>
          <a:ext cx="1058333"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300781</xdr:colOff>
      <xdr:row>20</xdr:row>
      <xdr:rowOff>31750</xdr:rowOff>
    </xdr:from>
    <xdr:to>
      <xdr:col>23</xdr:col>
      <xdr:colOff>709085</xdr:colOff>
      <xdr:row>22</xdr:row>
      <xdr:rowOff>336734</xdr:rowOff>
    </xdr:to>
    <xdr:pic>
      <xdr:nvPicPr>
        <xdr:cNvPr id="14" name="Imagen 13" descr="Sardinel A-10 - preconcretos de la saban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76864" y="5196417"/>
          <a:ext cx="1170304" cy="1119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261192</xdr:colOff>
      <xdr:row>22</xdr:row>
      <xdr:rowOff>2</xdr:rowOff>
    </xdr:from>
    <xdr:to>
      <xdr:col>22</xdr:col>
      <xdr:colOff>18784</xdr:colOff>
      <xdr:row>25</xdr:row>
      <xdr:rowOff>89960</xdr:rowOff>
    </xdr:to>
    <xdr:pic>
      <xdr:nvPicPr>
        <xdr:cNvPr id="16" name="Imagen 15" descr="Alcaldía de Bucaramanga explica la construcción de resaltos que han  generado polémica | Vanguardia.com">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051275" y="5979585"/>
          <a:ext cx="2043592" cy="1259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673766</xdr:colOff>
      <xdr:row>17</xdr:row>
      <xdr:rowOff>423334</xdr:rowOff>
    </xdr:from>
    <xdr:to>
      <xdr:col>23</xdr:col>
      <xdr:colOff>656166</xdr:colOff>
      <xdr:row>19</xdr:row>
      <xdr:rowOff>254001</xdr:rowOff>
    </xdr:to>
    <xdr:pic>
      <xdr:nvPicPr>
        <xdr:cNvPr id="18" name="Imagen 17" descr="CAÑUELAS EN CONCRETO - MUNDO PREFABRICADOS S.A.S">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87849" y="2783417"/>
          <a:ext cx="1506400" cy="1132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143775</xdr:colOff>
      <xdr:row>1</xdr:row>
      <xdr:rowOff>11981</xdr:rowOff>
    </xdr:from>
    <xdr:to>
      <xdr:col>2</xdr:col>
      <xdr:colOff>1258020</xdr:colOff>
      <xdr:row>1</xdr:row>
      <xdr:rowOff>715534</xdr:rowOff>
    </xdr:to>
    <xdr:pic>
      <xdr:nvPicPr>
        <xdr:cNvPr id="2" name="Imagen 1">
          <a:extLst>
            <a:ext uri="{FF2B5EF4-FFF2-40B4-BE49-F238E27FC236}">
              <a16:creationId xmlns:a16="http://schemas.microsoft.com/office/drawing/2014/main" id="{E4712750-0EFD-2C4F-A3A9-703B3E70D1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489" r="8275"/>
        <a:stretch/>
      </xdr:blipFill>
      <xdr:spPr bwMode="auto">
        <a:xfrm>
          <a:off x="563115" y="179717"/>
          <a:ext cx="1509622" cy="70355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7"/>
  <sheetViews>
    <sheetView topLeftCell="G7" zoomScale="90" zoomScaleNormal="90" workbookViewId="0">
      <selection activeCell="K18" sqref="K18"/>
    </sheetView>
  </sheetViews>
  <sheetFormatPr baseColWidth="10" defaultColWidth="11.5" defaultRowHeight="15" x14ac:dyDescent="0.2"/>
  <cols>
    <col min="1" max="1" width="5" customWidth="1"/>
    <col min="3" max="3" width="34.33203125" customWidth="1"/>
    <col min="5" max="7" width="15.6640625" customWidth="1"/>
    <col min="8" max="8" width="18.1640625" customWidth="1"/>
    <col min="9" max="9" width="23" customWidth="1"/>
    <col min="10" max="10" width="18.83203125" customWidth="1"/>
    <col min="11" max="11" width="21.33203125" customWidth="1"/>
    <col min="12" max="12" width="13.83203125" bestFit="1" customWidth="1"/>
  </cols>
  <sheetData>
    <row r="2" spans="2:12" x14ac:dyDescent="0.2">
      <c r="B2" s="248" t="s">
        <v>0</v>
      </c>
      <c r="C2" s="249"/>
      <c r="D2" s="249"/>
      <c r="E2" s="249"/>
      <c r="F2" s="249"/>
      <c r="G2" s="249"/>
      <c r="H2" s="249"/>
    </row>
    <row r="3" spans="2:12" ht="51" customHeight="1" x14ac:dyDescent="0.2">
      <c r="B3" s="1" t="s">
        <v>1</v>
      </c>
      <c r="C3" s="1" t="s">
        <v>2</v>
      </c>
      <c r="D3" s="1" t="s">
        <v>3</v>
      </c>
      <c r="E3" s="114" t="s">
        <v>4</v>
      </c>
      <c r="F3" s="114" t="s">
        <v>5</v>
      </c>
      <c r="G3" s="4" t="s">
        <v>6</v>
      </c>
      <c r="H3" s="114" t="s">
        <v>7</v>
      </c>
      <c r="I3" s="4" t="s">
        <v>8</v>
      </c>
      <c r="J3" s="4" t="s">
        <v>9</v>
      </c>
    </row>
    <row r="4" spans="2:12" x14ac:dyDescent="0.2">
      <c r="B4" s="1"/>
      <c r="C4" s="165"/>
      <c r="D4" s="33" t="s">
        <v>10</v>
      </c>
      <c r="E4" s="114"/>
      <c r="F4" s="114"/>
      <c r="G4" s="1"/>
      <c r="H4" s="2"/>
    </row>
    <row r="5" spans="2:12" ht="29" x14ac:dyDescent="0.2">
      <c r="B5" s="17">
        <v>22</v>
      </c>
      <c r="C5" s="6" t="s">
        <v>11</v>
      </c>
      <c r="D5" s="7" t="s">
        <v>10</v>
      </c>
      <c r="E5" s="12">
        <v>1645.65</v>
      </c>
      <c r="F5" s="118">
        <v>1177</v>
      </c>
      <c r="G5" s="9">
        <v>7695</v>
      </c>
      <c r="H5" s="13">
        <f>+G5*E5</f>
        <v>12663276.75</v>
      </c>
      <c r="I5" s="177">
        <f>G5*1.0321</f>
        <v>7942.0095000000001</v>
      </c>
      <c r="J5" s="173">
        <f>F5*I5</f>
        <v>9347745.1815000009</v>
      </c>
    </row>
    <row r="6" spans="2:12" ht="43" x14ac:dyDescent="0.2">
      <c r="B6" s="17">
        <v>23</v>
      </c>
      <c r="C6" s="6" t="s">
        <v>12</v>
      </c>
      <c r="D6" s="7" t="s">
        <v>13</v>
      </c>
      <c r="E6" s="12"/>
      <c r="F6" s="118">
        <f>1177*0.15</f>
        <v>176.54999999999998</v>
      </c>
      <c r="G6" s="9"/>
      <c r="H6" s="13"/>
      <c r="I6" s="177">
        <v>54000</v>
      </c>
      <c r="J6" s="173">
        <f>F6*I6</f>
        <v>9533700</v>
      </c>
      <c r="L6" t="s">
        <v>14</v>
      </c>
    </row>
    <row r="7" spans="2:12" ht="57" x14ac:dyDescent="0.2">
      <c r="B7" s="17">
        <v>24</v>
      </c>
      <c r="C7" s="176" t="s">
        <v>15</v>
      </c>
      <c r="D7" s="7" t="s">
        <v>13</v>
      </c>
      <c r="E7" s="12">
        <v>1722</v>
      </c>
      <c r="F7" s="118">
        <f>1177*0.15</f>
        <v>176.54999999999998</v>
      </c>
      <c r="G7" s="9">
        <v>96200</v>
      </c>
      <c r="H7" s="13">
        <f>+G7*E7</f>
        <v>165656400</v>
      </c>
      <c r="I7" s="177">
        <f>621150</f>
        <v>621150</v>
      </c>
      <c r="J7" s="173">
        <f>F7*I7</f>
        <v>109664032.49999999</v>
      </c>
    </row>
    <row r="8" spans="2:12" x14ac:dyDescent="0.2">
      <c r="B8" s="17">
        <v>25</v>
      </c>
      <c r="C8" s="6" t="s">
        <v>16</v>
      </c>
      <c r="D8" s="7" t="s">
        <v>17</v>
      </c>
      <c r="E8" s="12">
        <v>1</v>
      </c>
      <c r="F8" s="14">
        <v>1</v>
      </c>
      <c r="G8" s="18">
        <v>5471416.75</v>
      </c>
      <c r="H8" s="13">
        <f t="shared" ref="H8:H12" si="0">+G8*E8</f>
        <v>5471416.75</v>
      </c>
      <c r="I8" s="177">
        <f t="shared" ref="I8:I12" si="1">G8*1.0321</f>
        <v>5647049.2276750002</v>
      </c>
      <c r="J8" s="173">
        <f t="shared" ref="J8:J14" si="2">F8*I8</f>
        <v>5647049.2276750002</v>
      </c>
    </row>
    <row r="9" spans="2:12" ht="43" x14ac:dyDescent="0.2">
      <c r="B9" s="17">
        <v>26</v>
      </c>
      <c r="C9" s="6" t="s">
        <v>18</v>
      </c>
      <c r="D9" s="7" t="s">
        <v>17</v>
      </c>
      <c r="E9" s="29">
        <v>7.1999999999999993</v>
      </c>
      <c r="F9" s="156">
        <v>8</v>
      </c>
      <c r="G9" s="18">
        <v>1236700</v>
      </c>
      <c r="H9" s="13">
        <f t="shared" si="0"/>
        <v>8904240</v>
      </c>
      <c r="I9" s="177">
        <f>'parqueadero ELV'!I24</f>
        <v>1327453.9928000001</v>
      </c>
      <c r="J9" s="173">
        <f t="shared" si="2"/>
        <v>10619631.942400001</v>
      </c>
    </row>
    <row r="10" spans="2:12" x14ac:dyDescent="0.2">
      <c r="B10" s="17">
        <v>27</v>
      </c>
      <c r="C10" s="6" t="s">
        <v>19</v>
      </c>
      <c r="D10" s="7" t="s">
        <v>3</v>
      </c>
      <c r="E10" s="12">
        <v>10</v>
      </c>
      <c r="F10" s="14">
        <v>28</v>
      </c>
      <c r="G10" s="9">
        <v>576571</v>
      </c>
      <c r="H10" s="13">
        <f t="shared" si="0"/>
        <v>5765710</v>
      </c>
      <c r="I10" s="177">
        <f t="shared" si="1"/>
        <v>595078.92910000007</v>
      </c>
      <c r="J10" s="173">
        <f t="shared" si="2"/>
        <v>16662210.014800001</v>
      </c>
    </row>
    <row r="11" spans="2:12" x14ac:dyDescent="0.2">
      <c r="B11" s="17">
        <v>28</v>
      </c>
      <c r="C11" s="6" t="s">
        <v>20</v>
      </c>
      <c r="D11" s="7" t="s">
        <v>17</v>
      </c>
      <c r="E11" s="12">
        <v>1</v>
      </c>
      <c r="F11" s="14">
        <v>1</v>
      </c>
      <c r="G11" s="9">
        <f>'parqueadero ELV'!G27</f>
        <v>832000</v>
      </c>
      <c r="H11" s="13">
        <f t="shared" si="0"/>
        <v>832000</v>
      </c>
      <c r="I11" s="177">
        <f t="shared" si="1"/>
        <v>858707.20000000007</v>
      </c>
      <c r="J11" s="173">
        <f t="shared" si="2"/>
        <v>858707.20000000007</v>
      </c>
    </row>
    <row r="12" spans="2:12" x14ac:dyDescent="0.2">
      <c r="B12" s="17">
        <v>29</v>
      </c>
      <c r="C12" s="6" t="s">
        <v>21</v>
      </c>
      <c r="D12" s="7" t="s">
        <v>17</v>
      </c>
      <c r="E12" s="12">
        <v>10</v>
      </c>
      <c r="F12" s="14">
        <v>28</v>
      </c>
      <c r="G12" s="18">
        <v>54680</v>
      </c>
      <c r="H12" s="13">
        <f t="shared" si="0"/>
        <v>546800</v>
      </c>
      <c r="I12" s="177">
        <f t="shared" si="1"/>
        <v>56435.228000000003</v>
      </c>
      <c r="J12" s="173">
        <f t="shared" si="2"/>
        <v>1580186.3840000001</v>
      </c>
    </row>
    <row r="13" spans="2:12" x14ac:dyDescent="0.2">
      <c r="B13" s="17">
        <v>30</v>
      </c>
      <c r="C13" s="6" t="s">
        <v>22</v>
      </c>
      <c r="D13" s="7" t="s">
        <v>17</v>
      </c>
      <c r="E13" s="12"/>
      <c r="F13" s="14">
        <v>4</v>
      </c>
      <c r="G13" s="18"/>
      <c r="H13" s="13"/>
      <c r="I13" s="177">
        <v>1000000</v>
      </c>
      <c r="J13" s="173">
        <f t="shared" si="2"/>
        <v>4000000</v>
      </c>
      <c r="K13" s="121" t="e">
        <f>+#REF!+J13</f>
        <v>#REF!</v>
      </c>
    </row>
    <row r="14" spans="2:12" x14ac:dyDescent="0.2">
      <c r="B14" s="17"/>
      <c r="C14" s="6" t="s">
        <v>23</v>
      </c>
      <c r="D14" s="7" t="s">
        <v>24</v>
      </c>
      <c r="E14" s="12"/>
      <c r="F14" s="14">
        <v>8</v>
      </c>
      <c r="G14" s="18">
        <v>101374</v>
      </c>
      <c r="H14" s="13"/>
      <c r="I14" s="187">
        <v>101374</v>
      </c>
      <c r="J14" s="173">
        <f t="shared" si="2"/>
        <v>810992</v>
      </c>
      <c r="K14" s="121"/>
    </row>
    <row r="15" spans="2:12" x14ac:dyDescent="0.2">
      <c r="B15" s="17">
        <v>32</v>
      </c>
      <c r="C15" s="6" t="s">
        <v>25</v>
      </c>
      <c r="D15" s="7" t="s">
        <v>26</v>
      </c>
      <c r="E15" s="12">
        <v>1</v>
      </c>
      <c r="F15" s="14">
        <v>1</v>
      </c>
      <c r="G15" s="18"/>
      <c r="H15" s="13">
        <f t="shared" ref="H15" si="3">+G15*E15</f>
        <v>0</v>
      </c>
      <c r="I15" s="177">
        <v>2000000</v>
      </c>
      <c r="J15" s="173">
        <f t="shared" ref="J15" si="4">F15*I15</f>
        <v>2000000</v>
      </c>
    </row>
    <row r="16" spans="2:12" x14ac:dyDescent="0.2">
      <c r="B16" s="44"/>
      <c r="C16" s="45"/>
      <c r="D16" s="44"/>
      <c r="E16" s="46"/>
      <c r="F16" s="46"/>
      <c r="G16" s="46"/>
      <c r="H16" s="46"/>
    </row>
    <row r="17" spans="2:12" x14ac:dyDescent="0.2">
      <c r="B17" s="44"/>
      <c r="C17" s="45"/>
      <c r="D17" s="44"/>
      <c r="E17" s="46"/>
      <c r="F17" s="46"/>
      <c r="G17" s="46"/>
      <c r="H17" s="46"/>
      <c r="K17" t="s">
        <v>27</v>
      </c>
    </row>
    <row r="18" spans="2:12" x14ac:dyDescent="0.2">
      <c r="B18" s="44"/>
      <c r="C18" s="47" t="s">
        <v>28</v>
      </c>
      <c r="D18" s="48"/>
      <c r="E18" s="52"/>
      <c r="F18" s="52"/>
      <c r="G18" s="52"/>
      <c r="H18" s="53">
        <f>+SUM(H7:H16)</f>
        <v>187176566.75</v>
      </c>
      <c r="J18" s="177">
        <f>SUM(J5:J15)</f>
        <v>170724254.45037499</v>
      </c>
      <c r="K18" s="177">
        <f>+J18/1270</f>
        <v>134428.5468113189</v>
      </c>
      <c r="L18" s="121"/>
    </row>
    <row r="19" spans="2:12" x14ac:dyDescent="0.2">
      <c r="B19" s="70"/>
      <c r="C19" s="54" t="s">
        <v>29</v>
      </c>
      <c r="D19" s="55"/>
      <c r="E19" s="52"/>
      <c r="F19" s="52"/>
      <c r="G19" s="52"/>
      <c r="H19" s="59">
        <f>+SUM(H20:H23)</f>
        <v>49077695.801849999</v>
      </c>
      <c r="J19" s="173">
        <f>SUM(J20:J23)</f>
        <v>44763899.516888328</v>
      </c>
    </row>
    <row r="20" spans="2:12" x14ac:dyDescent="0.2">
      <c r="B20" s="70"/>
      <c r="C20" s="60" t="s">
        <v>30</v>
      </c>
      <c r="D20" s="61">
        <v>0.17269999999999999</v>
      </c>
      <c r="E20" s="52"/>
      <c r="F20" s="52"/>
      <c r="G20" s="52"/>
      <c r="H20" s="59">
        <f>+D20*H18</f>
        <v>32325393.077724997</v>
      </c>
      <c r="J20" s="173">
        <f>J18*D20</f>
        <v>29484078.74357976</v>
      </c>
    </row>
    <row r="21" spans="2:12" x14ac:dyDescent="0.2">
      <c r="B21" s="70"/>
      <c r="C21" s="60" t="s">
        <v>31</v>
      </c>
      <c r="D21" s="61">
        <v>0.03</v>
      </c>
      <c r="E21" s="52"/>
      <c r="F21" s="52"/>
      <c r="G21" s="52"/>
      <c r="H21" s="59">
        <f>+D21*H18</f>
        <v>5615297.0024999995</v>
      </c>
      <c r="J21" s="173">
        <f>J18*D21</f>
        <v>5121727.6335112499</v>
      </c>
    </row>
    <row r="22" spans="2:12" x14ac:dyDescent="0.2">
      <c r="B22" s="70"/>
      <c r="C22" s="60" t="s">
        <v>32</v>
      </c>
      <c r="D22" s="61">
        <v>0.05</v>
      </c>
      <c r="E22" s="52"/>
      <c r="F22" s="52"/>
      <c r="G22" s="52"/>
      <c r="H22" s="59">
        <f>+D22*H18</f>
        <v>9358828.3375000004</v>
      </c>
      <c r="J22" s="174">
        <f>D22*J18</f>
        <v>8536212.7225187495</v>
      </c>
    </row>
    <row r="23" spans="2:12" x14ac:dyDescent="0.2">
      <c r="B23" s="70"/>
      <c r="C23" s="62" t="s">
        <v>33</v>
      </c>
      <c r="D23" s="64">
        <v>0.19</v>
      </c>
      <c r="E23" s="52"/>
      <c r="F23" s="52"/>
      <c r="G23" s="52"/>
      <c r="H23" s="67">
        <f>+D23*H22</f>
        <v>1778177.3841250001</v>
      </c>
      <c r="J23" s="174">
        <f>J22*D23</f>
        <v>1621880.4172785624</v>
      </c>
    </row>
    <row r="24" spans="2:12" x14ac:dyDescent="0.2">
      <c r="B24" s="70"/>
      <c r="C24" s="70"/>
      <c r="D24" s="70"/>
      <c r="E24" s="70"/>
      <c r="F24" s="70"/>
      <c r="G24" s="70"/>
      <c r="H24" s="70"/>
    </row>
    <row r="25" spans="2:12" x14ac:dyDescent="0.2">
      <c r="B25" s="70"/>
      <c r="C25" s="70"/>
      <c r="D25" s="70"/>
      <c r="E25" s="73"/>
      <c r="F25" s="73"/>
      <c r="G25" s="73"/>
      <c r="H25" s="75">
        <f>+H19+H18</f>
        <v>236254262.55184999</v>
      </c>
      <c r="J25" s="172">
        <f>J18+J19</f>
        <v>215488153.96726331</v>
      </c>
    </row>
    <row r="26" spans="2:12" x14ac:dyDescent="0.2">
      <c r="B26" s="70"/>
      <c r="C26" s="70"/>
      <c r="D26" s="70"/>
      <c r="E26" s="70"/>
      <c r="F26" s="70"/>
      <c r="G26" s="70"/>
      <c r="H26" s="116"/>
    </row>
    <row r="27" spans="2:12" x14ac:dyDescent="0.2">
      <c r="B27" s="70"/>
      <c r="C27" s="70"/>
      <c r="D27" s="70"/>
      <c r="E27" s="70"/>
      <c r="F27" s="70"/>
      <c r="G27" s="70"/>
      <c r="H27" s="78"/>
    </row>
  </sheetData>
  <protectedRanges>
    <protectedRange sqref="D20:D22" name="Rango3_2_1_3"/>
  </protectedRanges>
  <mergeCells count="1">
    <mergeCell ref="B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B1:W49"/>
  <sheetViews>
    <sheetView topLeftCell="G25" zoomScale="90" zoomScaleNormal="90" workbookViewId="0">
      <selection activeCell="G7" sqref="G7"/>
    </sheetView>
  </sheetViews>
  <sheetFormatPr baseColWidth="10" defaultColWidth="11.5" defaultRowHeight="15" x14ac:dyDescent="0.2"/>
  <cols>
    <col min="1" max="1" width="5" customWidth="1"/>
    <col min="3" max="3" width="61" customWidth="1"/>
    <col min="5" max="5" width="16.6640625" customWidth="1"/>
    <col min="6" max="6" width="18" customWidth="1"/>
    <col min="7" max="7" width="16.33203125" customWidth="1"/>
    <col min="8" max="10" width="19.1640625" customWidth="1"/>
    <col min="11" max="11" width="24.33203125" customWidth="1"/>
    <col min="12" max="12" width="15.83203125" customWidth="1"/>
    <col min="13" max="13" width="26.5" customWidth="1"/>
    <col min="14" max="14" width="20.5" customWidth="1"/>
    <col min="16" max="16" width="13.83203125" customWidth="1"/>
  </cols>
  <sheetData>
    <row r="1" spans="2:23" x14ac:dyDescent="0.2">
      <c r="E1" t="s">
        <v>34</v>
      </c>
      <c r="G1">
        <f>10.93+23.02+79.07</f>
        <v>113.02</v>
      </c>
      <c r="M1" s="145"/>
      <c r="N1" s="146">
        <v>198</v>
      </c>
      <c r="P1" s="251" t="s">
        <v>35</v>
      </c>
      <c r="Q1" s="252"/>
      <c r="R1" s="153">
        <v>42</v>
      </c>
      <c r="S1" s="153">
        <v>5.4</v>
      </c>
      <c r="T1" s="153" t="s">
        <v>36</v>
      </c>
      <c r="U1" s="153"/>
      <c r="V1" s="146">
        <f>+S1*R1</f>
        <v>226.8</v>
      </c>
    </row>
    <row r="2" spans="2:23" x14ac:dyDescent="0.2">
      <c r="E2" s="70" t="s">
        <v>37</v>
      </c>
      <c r="G2">
        <f>192.5+208+31.5+13.63+17.44+10.57</f>
        <v>473.64</v>
      </c>
      <c r="M2" s="147" t="s">
        <v>38</v>
      </c>
      <c r="N2" s="148">
        <f>62.5*2</f>
        <v>125</v>
      </c>
      <c r="P2" s="253"/>
      <c r="Q2" s="254"/>
      <c r="R2">
        <v>41</v>
      </c>
      <c r="S2">
        <v>2.5499999999999998</v>
      </c>
      <c r="T2" t="s">
        <v>39</v>
      </c>
      <c r="V2" s="148">
        <f>+S2*R2</f>
        <v>104.55</v>
      </c>
    </row>
    <row r="3" spans="2:23" x14ac:dyDescent="0.2">
      <c r="E3" s="155" t="s">
        <v>40</v>
      </c>
      <c r="F3" s="132"/>
      <c r="G3" s="132">
        <f>339.6+235.8</f>
        <v>575.40000000000009</v>
      </c>
      <c r="M3" s="147"/>
      <c r="N3" s="148">
        <v>5.6</v>
      </c>
      <c r="P3" s="147"/>
      <c r="V3" s="148"/>
    </row>
    <row r="4" spans="2:23" ht="16" thickBot="1" x14ac:dyDescent="0.25">
      <c r="E4" s="155" t="s">
        <v>41</v>
      </c>
      <c r="F4" s="132"/>
      <c r="G4" s="132">
        <v>722.2</v>
      </c>
      <c r="M4" s="149"/>
      <c r="N4" s="150">
        <f>SUM(N1:N3)</f>
        <v>328.6</v>
      </c>
      <c r="P4" s="147" t="s">
        <v>42</v>
      </c>
      <c r="R4">
        <v>155.41</v>
      </c>
      <c r="V4" s="148"/>
    </row>
    <row r="5" spans="2:23" ht="16" thickBot="1" x14ac:dyDescent="0.25">
      <c r="E5" s="155" t="s">
        <v>43</v>
      </c>
      <c r="F5" s="132"/>
      <c r="G5" s="132">
        <v>118.2</v>
      </c>
      <c r="P5" s="149" t="s">
        <v>44</v>
      </c>
      <c r="Q5" s="154"/>
      <c r="R5" s="154">
        <v>38.71</v>
      </c>
      <c r="S5" s="154"/>
      <c r="T5" s="154"/>
      <c r="U5" s="154"/>
      <c r="V5" s="150">
        <f>+V1+V2+R4+R5</f>
        <v>525.47</v>
      </c>
    </row>
    <row r="6" spans="2:23" ht="16" thickBot="1" x14ac:dyDescent="0.25">
      <c r="E6" s="70"/>
      <c r="G6">
        <f>+G3+G4+G5</f>
        <v>1415.8000000000002</v>
      </c>
      <c r="M6" s="151" t="s">
        <v>45</v>
      </c>
      <c r="N6" s="152">
        <f>8.1+6.4</f>
        <v>14.5</v>
      </c>
      <c r="P6" t="s">
        <v>46</v>
      </c>
    </row>
    <row r="7" spans="2:23" x14ac:dyDescent="0.2">
      <c r="E7" s="70" t="s">
        <v>47</v>
      </c>
    </row>
    <row r="8" spans="2:23" x14ac:dyDescent="0.2">
      <c r="E8" s="70"/>
    </row>
    <row r="10" spans="2:23" x14ac:dyDescent="0.2">
      <c r="B10" s="248" t="s">
        <v>48</v>
      </c>
      <c r="C10" s="249"/>
      <c r="D10" s="249"/>
      <c r="E10" s="249"/>
      <c r="F10" s="249"/>
      <c r="G10" s="249"/>
      <c r="H10" s="249"/>
      <c r="I10" s="249"/>
      <c r="J10" s="249"/>
      <c r="K10" s="249"/>
      <c r="L10" s="250"/>
      <c r="M10" s="139"/>
      <c r="P10" t="s">
        <v>49</v>
      </c>
    </row>
    <row r="11" spans="2:23" ht="80" x14ac:dyDescent="0.2">
      <c r="B11" s="1" t="s">
        <v>1</v>
      </c>
      <c r="C11" s="1" t="s">
        <v>2</v>
      </c>
      <c r="D11" s="1" t="s">
        <v>3</v>
      </c>
      <c r="E11" s="4" t="s">
        <v>50</v>
      </c>
      <c r="F11" s="144" t="s">
        <v>51</v>
      </c>
      <c r="G11" s="4" t="s">
        <v>6</v>
      </c>
      <c r="H11" s="4" t="s">
        <v>7</v>
      </c>
      <c r="I11" s="4" t="s">
        <v>8</v>
      </c>
      <c r="J11" s="4" t="s">
        <v>52</v>
      </c>
      <c r="K11" s="4" t="s">
        <v>53</v>
      </c>
      <c r="L11" s="4" t="s">
        <v>54</v>
      </c>
      <c r="M11" s="140"/>
      <c r="N11" s="141" t="s">
        <v>55</v>
      </c>
    </row>
    <row r="12" spans="2:23" x14ac:dyDescent="0.2">
      <c r="B12" s="5">
        <v>1</v>
      </c>
      <c r="C12" s="125" t="s">
        <v>56</v>
      </c>
      <c r="D12" s="33" t="s">
        <v>10</v>
      </c>
      <c r="E12" s="142">
        <v>1402</v>
      </c>
      <c r="F12" s="142">
        <v>1889.44</v>
      </c>
      <c r="G12" s="134">
        <f>'plazoleta ELV'!G5</f>
        <v>7695</v>
      </c>
      <c r="H12" s="127">
        <f>+G12*E12</f>
        <v>10788390</v>
      </c>
      <c r="I12" s="127">
        <f>G12*1.0321</f>
        <v>7942.0095000000001</v>
      </c>
      <c r="J12" s="127">
        <f>F12*I12</f>
        <v>15005950.429680001</v>
      </c>
      <c r="K12" s="68"/>
      <c r="L12" s="69" t="s">
        <v>57</v>
      </c>
      <c r="M12" s="136"/>
      <c r="N12" s="127">
        <v>4132</v>
      </c>
      <c r="O12" t="s">
        <v>58</v>
      </c>
      <c r="P12" s="121">
        <v>1350</v>
      </c>
      <c r="S12" t="s">
        <v>59</v>
      </c>
    </row>
    <row r="13" spans="2:23" ht="39" customHeight="1" x14ac:dyDescent="0.2">
      <c r="B13" s="5">
        <v>7</v>
      </c>
      <c r="C13" s="130" t="s">
        <v>60</v>
      </c>
      <c r="D13" s="33" t="s">
        <v>13</v>
      </c>
      <c r="E13" s="34">
        <v>1399</v>
      </c>
      <c r="F13" s="157">
        <f>+(G3+G4+G5)*0.5*1.3</f>
        <v>920.2700000000001</v>
      </c>
      <c r="G13" s="126">
        <f>+ROUND(50227*1.04,0)</f>
        <v>52236</v>
      </c>
      <c r="H13" s="127">
        <f>+G13*E13</f>
        <v>73078164</v>
      </c>
      <c r="I13" s="127">
        <v>22500</v>
      </c>
      <c r="J13" s="127">
        <f>F13*I13</f>
        <v>20706075.000000004</v>
      </c>
      <c r="K13" s="68"/>
      <c r="L13" s="69"/>
      <c r="M13" s="136"/>
      <c r="N13" s="127">
        <v>56257</v>
      </c>
      <c r="O13" s="137" t="s">
        <v>61</v>
      </c>
      <c r="P13" s="138">
        <v>43900</v>
      </c>
      <c r="T13" s="132" t="s">
        <v>62</v>
      </c>
      <c r="U13" s="132" t="s">
        <v>63</v>
      </c>
      <c r="V13" s="132"/>
    </row>
    <row r="14" spans="2:23" x14ac:dyDescent="0.2">
      <c r="B14" s="5">
        <v>8</v>
      </c>
      <c r="C14" s="125" t="s">
        <v>64</v>
      </c>
      <c r="D14" s="33" t="s">
        <v>13</v>
      </c>
      <c r="E14" s="34">
        <v>979</v>
      </c>
      <c r="F14" s="157">
        <f>+(G3+G4+G5)*0.35</f>
        <v>495.53000000000003</v>
      </c>
      <c r="G14" s="128">
        <f>+ROUND(84981*1.04,0)</f>
        <v>88380</v>
      </c>
      <c r="H14" s="128">
        <f>+G14*E14</f>
        <v>86524020</v>
      </c>
      <c r="I14" s="127">
        <v>82247</v>
      </c>
      <c r="J14" s="127">
        <f>F14*I14</f>
        <v>40755855.910000004</v>
      </c>
      <c r="K14" s="68"/>
      <c r="L14" s="69"/>
      <c r="M14" s="136"/>
      <c r="N14" s="127">
        <v>68883</v>
      </c>
      <c r="O14" t="s">
        <v>58</v>
      </c>
      <c r="P14" s="121">
        <v>79214</v>
      </c>
      <c r="Q14" t="s">
        <v>65</v>
      </c>
      <c r="W14" s="132" t="s">
        <v>66</v>
      </c>
    </row>
    <row r="15" spans="2:23" ht="42" x14ac:dyDescent="0.2">
      <c r="B15" s="5">
        <v>2</v>
      </c>
      <c r="C15" s="125" t="s">
        <v>67</v>
      </c>
      <c r="D15" s="33" t="s">
        <v>10</v>
      </c>
      <c r="E15" s="142">
        <v>525</v>
      </c>
      <c r="F15" s="142">
        <v>575.4</v>
      </c>
      <c r="G15" s="128">
        <f>ROUND(84115*1.04,0)</f>
        <v>87480</v>
      </c>
      <c r="H15" s="127">
        <f t="shared" ref="H15:H33" si="0">+G15*E15</f>
        <v>45927000</v>
      </c>
      <c r="I15" s="127">
        <f t="shared" ref="I15:I33" si="1">G15*1.0321</f>
        <v>90288.108000000007</v>
      </c>
      <c r="J15" s="127">
        <f t="shared" ref="J15:J33" si="2">F15*I15</f>
        <v>51951777.343200006</v>
      </c>
      <c r="K15" s="68" t="s">
        <v>68</v>
      </c>
      <c r="L15" s="69"/>
      <c r="M15" s="136"/>
      <c r="N15" s="127"/>
      <c r="O15" t="s">
        <v>69</v>
      </c>
      <c r="P15" s="121">
        <v>66360</v>
      </c>
      <c r="Q15" t="s">
        <v>70</v>
      </c>
      <c r="W15" s="137" t="s">
        <v>71</v>
      </c>
    </row>
    <row r="16" spans="2:23" ht="56" x14ac:dyDescent="0.2">
      <c r="B16" s="5">
        <v>3</v>
      </c>
      <c r="C16" s="125" t="s">
        <v>72</v>
      </c>
      <c r="D16" s="33" t="s">
        <v>10</v>
      </c>
      <c r="E16" s="142">
        <v>960</v>
      </c>
      <c r="F16" s="142">
        <v>722.2</v>
      </c>
      <c r="G16" s="128">
        <f>ROUND(95140*1.04,0)</f>
        <v>98946</v>
      </c>
      <c r="H16" s="127">
        <f>+G16*E16</f>
        <v>94988160</v>
      </c>
      <c r="I16" s="127">
        <f t="shared" si="1"/>
        <v>102122.1666</v>
      </c>
      <c r="J16" s="127">
        <f t="shared" si="2"/>
        <v>73752628.718520001</v>
      </c>
      <c r="K16" s="68"/>
      <c r="L16" s="69"/>
      <c r="M16" s="136"/>
      <c r="N16" s="127">
        <v>52528</v>
      </c>
      <c r="O16" t="s">
        <v>58</v>
      </c>
      <c r="P16" s="121">
        <v>90885</v>
      </c>
      <c r="Q16" t="s">
        <v>73</v>
      </c>
      <c r="W16" s="137" t="s">
        <v>74</v>
      </c>
    </row>
    <row r="17" spans="2:23" ht="28" x14ac:dyDescent="0.2">
      <c r="B17" s="5" t="s">
        <v>75</v>
      </c>
      <c r="C17" s="182" t="s">
        <v>76</v>
      </c>
      <c r="D17" s="33" t="s">
        <v>10</v>
      </c>
      <c r="E17" s="142"/>
      <c r="F17" s="142">
        <v>118.2</v>
      </c>
      <c r="G17" s="128"/>
      <c r="H17" s="127"/>
      <c r="I17" s="127">
        <f>'plazoleta ELV'!I7</f>
        <v>621150</v>
      </c>
      <c r="J17" s="127">
        <f t="shared" si="2"/>
        <v>73419930</v>
      </c>
      <c r="K17" s="68"/>
      <c r="L17" s="69"/>
      <c r="M17" s="136"/>
      <c r="N17" s="127"/>
      <c r="P17" s="121"/>
      <c r="W17" s="137"/>
    </row>
    <row r="18" spans="2:23" ht="84" x14ac:dyDescent="0.2">
      <c r="B18" s="5">
        <v>4</v>
      </c>
      <c r="C18" s="125" t="s">
        <v>77</v>
      </c>
      <c r="D18" s="33" t="s">
        <v>17</v>
      </c>
      <c r="E18" s="142">
        <v>2</v>
      </c>
      <c r="F18" s="142">
        <v>1</v>
      </c>
      <c r="G18" s="126">
        <v>5471416.75</v>
      </c>
      <c r="H18" s="127">
        <f t="shared" si="0"/>
        <v>10942833.5</v>
      </c>
      <c r="I18" s="127">
        <f t="shared" si="1"/>
        <v>5647049.2276750002</v>
      </c>
      <c r="J18" s="127">
        <f t="shared" si="2"/>
        <v>5647049.2276750002</v>
      </c>
      <c r="K18" s="68"/>
      <c r="L18" s="69"/>
      <c r="M18" s="136"/>
      <c r="N18" s="127"/>
      <c r="P18" s="121"/>
      <c r="Q18" t="s">
        <v>78</v>
      </c>
    </row>
    <row r="19" spans="2:23" ht="28" x14ac:dyDescent="0.2">
      <c r="B19" s="5">
        <v>5</v>
      </c>
      <c r="C19" s="125" t="s">
        <v>79</v>
      </c>
      <c r="D19" s="33" t="s">
        <v>24</v>
      </c>
      <c r="E19" s="34">
        <v>211</v>
      </c>
      <c r="F19" s="143">
        <f>176+21.7</f>
        <v>197.7</v>
      </c>
      <c r="G19" s="128">
        <f>+ROUND(120000*1.04,0)</f>
        <v>124800</v>
      </c>
      <c r="H19" s="127">
        <f t="shared" si="0"/>
        <v>26332800</v>
      </c>
      <c r="I19" s="127">
        <f t="shared" si="1"/>
        <v>128806.08</v>
      </c>
      <c r="J19" s="127">
        <f t="shared" si="2"/>
        <v>25464962.015999999</v>
      </c>
      <c r="K19" s="68"/>
      <c r="L19" s="69"/>
      <c r="M19" s="136"/>
      <c r="N19" s="127">
        <v>43504</v>
      </c>
      <c r="O19" t="s">
        <v>58</v>
      </c>
      <c r="P19" s="121">
        <v>100318</v>
      </c>
      <c r="Q19" s="137" t="s">
        <v>80</v>
      </c>
      <c r="R19" s="137"/>
      <c r="S19" s="137"/>
      <c r="T19" s="137" t="s">
        <v>81</v>
      </c>
      <c r="U19" s="137">
        <v>56000</v>
      </c>
    </row>
    <row r="20" spans="2:23" ht="30" x14ac:dyDescent="0.2">
      <c r="B20" s="5">
        <v>6</v>
      </c>
      <c r="C20" s="125" t="s">
        <v>82</v>
      </c>
      <c r="D20" s="33" t="s">
        <v>10</v>
      </c>
      <c r="E20" s="142">
        <v>525</v>
      </c>
      <c r="F20" s="142">
        <f>+F15</f>
        <v>575.4</v>
      </c>
      <c r="G20" s="129">
        <f>ROUND(11230*1.04,0)</f>
        <v>11679</v>
      </c>
      <c r="H20" s="127">
        <f t="shared" si="0"/>
        <v>6131475</v>
      </c>
      <c r="I20" s="127">
        <f t="shared" si="1"/>
        <v>12053.8959</v>
      </c>
      <c r="J20" s="127">
        <f t="shared" si="2"/>
        <v>6935811.7008599993</v>
      </c>
      <c r="K20" s="68" t="s">
        <v>68</v>
      </c>
      <c r="L20" s="69"/>
      <c r="M20" s="136"/>
      <c r="N20" s="127"/>
      <c r="O20" t="s">
        <v>58</v>
      </c>
      <c r="P20" s="121">
        <v>9938</v>
      </c>
      <c r="Q20" t="s">
        <v>83</v>
      </c>
    </row>
    <row r="21" spans="2:23" ht="28" x14ac:dyDescent="0.2">
      <c r="B21" s="5">
        <v>9</v>
      </c>
      <c r="C21" s="125" t="s">
        <v>84</v>
      </c>
      <c r="D21" s="33" t="s">
        <v>24</v>
      </c>
      <c r="E21" s="39">
        <v>334</v>
      </c>
      <c r="F21" s="142">
        <v>334</v>
      </c>
      <c r="G21" s="128">
        <f>+ROUND(46331*1.04,0)</f>
        <v>48184</v>
      </c>
      <c r="H21" s="127">
        <f t="shared" si="0"/>
        <v>16093456</v>
      </c>
      <c r="I21" s="127">
        <f t="shared" si="1"/>
        <v>49730.706400000003</v>
      </c>
      <c r="J21" s="127">
        <f t="shared" si="2"/>
        <v>16610055.937600002</v>
      </c>
      <c r="K21" s="68"/>
      <c r="L21" s="69"/>
      <c r="M21" s="136"/>
      <c r="N21" s="127"/>
      <c r="O21" s="137" t="s">
        <v>58</v>
      </c>
      <c r="P21" s="138">
        <v>46169</v>
      </c>
      <c r="R21" s="131" t="s">
        <v>81</v>
      </c>
      <c r="S21" s="131">
        <v>60100</v>
      </c>
    </row>
    <row r="22" spans="2:23" ht="42" x14ac:dyDescent="0.2">
      <c r="B22" s="5">
        <v>10</v>
      </c>
      <c r="C22" s="125" t="s">
        <v>85</v>
      </c>
      <c r="D22" s="33" t="s">
        <v>10</v>
      </c>
      <c r="E22" s="39">
        <v>126</v>
      </c>
      <c r="F22" s="158">
        <f>90+15</f>
        <v>105</v>
      </c>
      <c r="G22" s="133">
        <f>ROUND(136676*1.04,0)</f>
        <v>142143</v>
      </c>
      <c r="H22" s="127">
        <f t="shared" si="0"/>
        <v>17910018</v>
      </c>
      <c r="I22" s="127">
        <f t="shared" si="1"/>
        <v>146705.79029999999</v>
      </c>
      <c r="J22" s="127">
        <f t="shared" si="2"/>
        <v>15404107.9815</v>
      </c>
      <c r="K22" s="68"/>
      <c r="L22" s="69"/>
      <c r="M22" s="136"/>
      <c r="N22" s="127"/>
      <c r="O22" t="s">
        <v>86</v>
      </c>
      <c r="P22" s="121"/>
    </row>
    <row r="23" spans="2:23" ht="42" x14ac:dyDescent="0.2">
      <c r="B23" s="5">
        <v>11</v>
      </c>
      <c r="C23" s="125" t="s">
        <v>87</v>
      </c>
      <c r="D23" s="33" t="s">
        <v>10</v>
      </c>
      <c r="E23" s="142">
        <v>32</v>
      </c>
      <c r="F23" s="143">
        <v>15</v>
      </c>
      <c r="G23" s="133">
        <f>+ROUND(149868*1.04,0)</f>
        <v>155863</v>
      </c>
      <c r="H23" s="127">
        <f t="shared" si="0"/>
        <v>4987616</v>
      </c>
      <c r="I23" s="127">
        <f t="shared" si="1"/>
        <v>160866.2023</v>
      </c>
      <c r="J23" s="127">
        <f t="shared" si="2"/>
        <v>2412993.0345000001</v>
      </c>
      <c r="K23" s="68"/>
      <c r="L23" s="69"/>
      <c r="M23" s="136"/>
      <c r="N23" s="127"/>
      <c r="O23" t="s">
        <v>88</v>
      </c>
    </row>
    <row r="24" spans="2:23" ht="45" x14ac:dyDescent="0.2">
      <c r="B24" s="5">
        <v>12</v>
      </c>
      <c r="C24" s="125" t="s">
        <v>89</v>
      </c>
      <c r="D24" s="33" t="s">
        <v>17</v>
      </c>
      <c r="E24" s="34">
        <v>17</v>
      </c>
      <c r="F24" s="143">
        <v>17</v>
      </c>
      <c r="G24" s="134">
        <f>ROUND(1236700*1.04,0)</f>
        <v>1286168</v>
      </c>
      <c r="H24" s="127">
        <f>+G24*E24</f>
        <v>21864856</v>
      </c>
      <c r="I24" s="127">
        <f t="shared" si="1"/>
        <v>1327453.9928000001</v>
      </c>
      <c r="J24" s="127">
        <f t="shared" si="2"/>
        <v>22566717.877600003</v>
      </c>
      <c r="K24" s="68" t="s">
        <v>90</v>
      </c>
      <c r="L24" s="69"/>
      <c r="M24" s="136"/>
      <c r="N24" s="127"/>
      <c r="O24" t="s">
        <v>91</v>
      </c>
    </row>
    <row r="25" spans="2:23" x14ac:dyDescent="0.2">
      <c r="B25" s="5">
        <v>13</v>
      </c>
      <c r="C25" s="125" t="s">
        <v>92</v>
      </c>
      <c r="D25" s="33" t="s">
        <v>24</v>
      </c>
      <c r="E25" s="34">
        <v>50</v>
      </c>
      <c r="F25" s="142">
        <v>50</v>
      </c>
      <c r="G25" s="134">
        <f>ROUND(48580*1.04,0)</f>
        <v>50523</v>
      </c>
      <c r="H25" s="127">
        <f t="shared" si="0"/>
        <v>2526150</v>
      </c>
      <c r="I25" s="127">
        <f t="shared" si="1"/>
        <v>52144.7883</v>
      </c>
      <c r="J25" s="127">
        <f t="shared" si="2"/>
        <v>2607239.415</v>
      </c>
      <c r="K25" s="68"/>
      <c r="L25" s="69"/>
      <c r="M25" s="136"/>
      <c r="N25" s="127"/>
      <c r="O25" t="s">
        <v>91</v>
      </c>
    </row>
    <row r="26" spans="2:23" ht="28" x14ac:dyDescent="0.2">
      <c r="B26" s="5">
        <v>14</v>
      </c>
      <c r="C26" s="125" t="s">
        <v>93</v>
      </c>
      <c r="D26" s="33" t="s">
        <v>24</v>
      </c>
      <c r="E26" s="39">
        <v>23</v>
      </c>
      <c r="F26" s="39">
        <v>50</v>
      </c>
      <c r="G26" s="134">
        <f>+ROUND(93406*1.04,0)</f>
        <v>97142</v>
      </c>
      <c r="H26" s="127">
        <f t="shared" si="0"/>
        <v>2234266</v>
      </c>
      <c r="I26" s="127">
        <f t="shared" si="1"/>
        <v>100260.2582</v>
      </c>
      <c r="J26" s="127">
        <f t="shared" si="2"/>
        <v>5013012.91</v>
      </c>
      <c r="K26" s="68"/>
      <c r="L26" s="69"/>
      <c r="M26" s="136"/>
      <c r="N26" s="127">
        <v>93453</v>
      </c>
      <c r="O26" t="s">
        <v>94</v>
      </c>
      <c r="R26" s="137" t="s">
        <v>95</v>
      </c>
      <c r="S26" s="137"/>
      <c r="T26" s="137"/>
      <c r="U26" s="137"/>
      <c r="V26" s="137"/>
      <c r="W26" s="137"/>
    </row>
    <row r="27" spans="2:23" ht="42" x14ac:dyDescent="0.2">
      <c r="B27" s="5">
        <v>15</v>
      </c>
      <c r="C27" s="125" t="s">
        <v>96</v>
      </c>
      <c r="D27" s="33" t="s">
        <v>17</v>
      </c>
      <c r="E27" s="142">
        <v>1</v>
      </c>
      <c r="F27" s="142">
        <v>1</v>
      </c>
      <c r="G27" s="126">
        <f>+ROUND(800000*1.04,0)</f>
        <v>832000</v>
      </c>
      <c r="H27" s="127">
        <f t="shared" si="0"/>
        <v>832000</v>
      </c>
      <c r="I27" s="127">
        <f t="shared" si="1"/>
        <v>858707.20000000007</v>
      </c>
      <c r="J27" s="127">
        <f t="shared" si="2"/>
        <v>858707.20000000007</v>
      </c>
      <c r="K27" s="68"/>
      <c r="L27" s="69"/>
      <c r="M27" s="136"/>
      <c r="N27" s="127">
        <v>569500</v>
      </c>
      <c r="O27" t="s">
        <v>97</v>
      </c>
      <c r="R27" t="s">
        <v>49</v>
      </c>
      <c r="S27">
        <v>552000</v>
      </c>
    </row>
    <row r="28" spans="2:23" x14ac:dyDescent="0.2">
      <c r="B28" s="5">
        <v>16</v>
      </c>
      <c r="C28" s="125" t="s">
        <v>98</v>
      </c>
      <c r="D28" s="33" t="s">
        <v>13</v>
      </c>
      <c r="E28" s="34">
        <v>20</v>
      </c>
      <c r="F28" s="39">
        <v>4</v>
      </c>
      <c r="G28" s="126">
        <f>+ROUND(90000*1.04,0)</f>
        <v>93600</v>
      </c>
      <c r="H28" s="127">
        <f t="shared" si="0"/>
        <v>1872000</v>
      </c>
      <c r="I28" s="127">
        <f t="shared" si="1"/>
        <v>96604.56</v>
      </c>
      <c r="J28" s="127">
        <f t="shared" si="2"/>
        <v>386418.24</v>
      </c>
      <c r="K28" s="68"/>
      <c r="L28" s="69"/>
      <c r="M28" s="136"/>
      <c r="N28" s="127"/>
      <c r="O28" t="s">
        <v>99</v>
      </c>
    </row>
    <row r="29" spans="2:23" ht="28" x14ac:dyDescent="0.2">
      <c r="B29" s="5">
        <v>17</v>
      </c>
      <c r="C29" s="125" t="s">
        <v>100</v>
      </c>
      <c r="D29" s="33" t="s">
        <v>24</v>
      </c>
      <c r="E29" s="34">
        <v>40</v>
      </c>
      <c r="F29" s="39">
        <v>200</v>
      </c>
      <c r="G29" s="126">
        <v>310000</v>
      </c>
      <c r="H29" s="127">
        <f t="shared" si="0"/>
        <v>12400000</v>
      </c>
      <c r="I29" s="127">
        <f t="shared" si="1"/>
        <v>319951</v>
      </c>
      <c r="J29" s="127">
        <f t="shared" si="2"/>
        <v>63990200</v>
      </c>
      <c r="K29" s="68"/>
      <c r="L29" s="69"/>
      <c r="M29" s="136"/>
      <c r="N29" s="127"/>
      <c r="O29" t="s">
        <v>101</v>
      </c>
    </row>
    <row r="30" spans="2:23" x14ac:dyDescent="0.2">
      <c r="B30" s="5">
        <v>18</v>
      </c>
      <c r="C30" s="125" t="s">
        <v>102</v>
      </c>
      <c r="D30" s="33" t="s">
        <v>17</v>
      </c>
      <c r="E30" s="142">
        <v>82</v>
      </c>
      <c r="F30" s="142">
        <v>82</v>
      </c>
      <c r="G30" s="126">
        <f>+ROUND(46000*1.04,0)</f>
        <v>47840</v>
      </c>
      <c r="H30" s="127">
        <f t="shared" si="0"/>
        <v>3922880</v>
      </c>
      <c r="I30" s="127">
        <f t="shared" si="1"/>
        <v>49375.664000000004</v>
      </c>
      <c r="J30" s="127">
        <f t="shared" si="2"/>
        <v>4048804.4480000003</v>
      </c>
      <c r="K30" s="68"/>
      <c r="L30" s="69"/>
      <c r="M30" s="136"/>
      <c r="N30" s="127"/>
    </row>
    <row r="31" spans="2:23" ht="28" x14ac:dyDescent="0.2">
      <c r="B31" s="5">
        <v>19</v>
      </c>
      <c r="C31" s="125" t="s">
        <v>103</v>
      </c>
      <c r="D31" s="33" t="s">
        <v>24</v>
      </c>
      <c r="E31" s="142">
        <v>118</v>
      </c>
      <c r="F31" s="142">
        <v>118</v>
      </c>
      <c r="G31" s="126">
        <f>+ROUND(481700*1.04,0)</f>
        <v>500968</v>
      </c>
      <c r="H31" s="127">
        <f t="shared" si="0"/>
        <v>59114224</v>
      </c>
      <c r="I31" s="127">
        <f t="shared" si="1"/>
        <v>517049.07280000002</v>
      </c>
      <c r="J31" s="127">
        <f t="shared" si="2"/>
        <v>61011790.590400003</v>
      </c>
      <c r="K31" s="68"/>
      <c r="L31" s="69">
        <v>121</v>
      </c>
      <c r="M31" s="136"/>
      <c r="N31" s="127"/>
    </row>
    <row r="32" spans="2:23" x14ac:dyDescent="0.2">
      <c r="B32" s="5"/>
      <c r="C32" s="185" t="s">
        <v>104</v>
      </c>
      <c r="D32" s="33"/>
      <c r="E32" s="142"/>
      <c r="F32" s="142">
        <v>118</v>
      </c>
      <c r="G32" s="126"/>
      <c r="H32" s="127"/>
      <c r="I32" s="127">
        <v>425000</v>
      </c>
      <c r="J32" s="127">
        <f t="shared" si="2"/>
        <v>50150000</v>
      </c>
      <c r="K32" s="135"/>
      <c r="L32" s="136"/>
      <c r="M32" s="136"/>
      <c r="N32" s="127"/>
    </row>
    <row r="33" spans="2:14" x14ac:dyDescent="0.2">
      <c r="B33" s="5">
        <v>20</v>
      </c>
      <c r="C33" s="125" t="s">
        <v>105</v>
      </c>
      <c r="D33" s="33" t="s">
        <v>24</v>
      </c>
      <c r="E33" s="143">
        <f>259+120</f>
        <v>379</v>
      </c>
      <c r="F33" s="143">
        <v>526</v>
      </c>
      <c r="G33" s="126">
        <f>+ROUND(37240*1.04,0)</f>
        <v>38730</v>
      </c>
      <c r="H33" s="127">
        <f t="shared" si="0"/>
        <v>14678670</v>
      </c>
      <c r="I33" s="127">
        <f t="shared" si="1"/>
        <v>39973.233</v>
      </c>
      <c r="J33" s="127">
        <f t="shared" si="2"/>
        <v>21025920.557999998</v>
      </c>
      <c r="K33" s="135"/>
      <c r="L33" s="136"/>
      <c r="M33" s="136"/>
      <c r="N33" s="127"/>
    </row>
    <row r="34" spans="2:14" x14ac:dyDescent="0.2">
      <c r="B34" s="159">
        <v>22</v>
      </c>
      <c r="C34" s="180" t="s">
        <v>106</v>
      </c>
      <c r="D34" s="160" t="s">
        <v>10</v>
      </c>
      <c r="E34" s="161"/>
      <c r="F34" s="162">
        <v>480</v>
      </c>
      <c r="G34" s="163">
        <v>11935.37</v>
      </c>
      <c r="H34" s="164">
        <f>F34*G34</f>
        <v>5728977.6000000006</v>
      </c>
      <c r="I34" s="164">
        <f>G34</f>
        <v>11935.37</v>
      </c>
      <c r="J34" s="127"/>
      <c r="K34" s="70"/>
      <c r="L34" s="70"/>
      <c r="M34" s="70"/>
      <c r="N34" s="164"/>
    </row>
    <row r="35" spans="2:14" x14ac:dyDescent="0.2">
      <c r="B35" s="44"/>
      <c r="C35" s="45"/>
      <c r="D35" s="44"/>
      <c r="E35" s="44"/>
      <c r="F35" s="44"/>
      <c r="G35" s="46"/>
      <c r="H35" s="46"/>
      <c r="I35" s="46"/>
      <c r="J35" s="46"/>
      <c r="K35" s="70"/>
      <c r="L35" s="70"/>
      <c r="M35" s="70"/>
    </row>
    <row r="36" spans="2:14" x14ac:dyDescent="0.2">
      <c r="B36" s="44"/>
      <c r="C36" s="47" t="s">
        <v>28</v>
      </c>
      <c r="D36" s="48"/>
      <c r="E36" s="49"/>
      <c r="F36" s="49"/>
      <c r="G36" s="50"/>
      <c r="H36" s="167">
        <f>SUM(H12:H35)</f>
        <v>518877956.10000002</v>
      </c>
      <c r="I36" s="51"/>
      <c r="J36" s="167">
        <f>SUM(J12:J34)</f>
        <v>579726008.538535</v>
      </c>
      <c r="K36" s="184">
        <f>J36/G6</f>
        <v>409468.85756359296</v>
      </c>
      <c r="L36" s="70"/>
      <c r="M36" s="70"/>
    </row>
    <row r="37" spans="2:14" x14ac:dyDescent="0.2">
      <c r="B37" s="70"/>
      <c r="C37" s="54" t="s">
        <v>29</v>
      </c>
      <c r="D37" s="55"/>
      <c r="E37" s="56"/>
      <c r="F37" s="56"/>
      <c r="G37" s="57"/>
      <c r="H37" s="169">
        <f>+SUM(H38:H41)</f>
        <v>136049800.08942002</v>
      </c>
      <c r="I37" s="52"/>
      <c r="J37" s="168">
        <f>SUM(J38:J41)</f>
        <v>152004159.43880388</v>
      </c>
      <c r="K37" s="70"/>
      <c r="L37" s="70"/>
      <c r="M37" s="70"/>
    </row>
    <row r="38" spans="2:14" x14ac:dyDescent="0.2">
      <c r="B38" s="70"/>
      <c r="C38" s="60" t="s">
        <v>30</v>
      </c>
      <c r="D38" s="55"/>
      <c r="E38" s="61">
        <v>0.17269999999999999</v>
      </c>
      <c r="F38" s="61"/>
      <c r="G38" s="57"/>
      <c r="H38" s="169">
        <f>+E38*H36</f>
        <v>89610223.018470004</v>
      </c>
      <c r="I38" s="52"/>
      <c r="J38" s="168">
        <f>J36*E38</f>
        <v>100118681.674605</v>
      </c>
      <c r="K38" s="70"/>
      <c r="L38" s="70"/>
      <c r="M38" s="70"/>
    </row>
    <row r="39" spans="2:14" x14ac:dyDescent="0.2">
      <c r="B39" s="70"/>
      <c r="C39" s="60" t="s">
        <v>31</v>
      </c>
      <c r="D39" s="55"/>
      <c r="E39" s="61">
        <v>0.03</v>
      </c>
      <c r="F39" s="61"/>
      <c r="G39" s="57"/>
      <c r="H39" s="169">
        <f>+E39*H36</f>
        <v>15566338.683</v>
      </c>
      <c r="I39" s="52"/>
      <c r="J39" s="168">
        <f>J36*E39</f>
        <v>17391780.25615605</v>
      </c>
      <c r="K39" s="70"/>
      <c r="L39" s="70"/>
      <c r="M39" s="70"/>
    </row>
    <row r="40" spans="2:14" x14ac:dyDescent="0.2">
      <c r="B40" s="70"/>
      <c r="C40" s="60" t="s">
        <v>32</v>
      </c>
      <c r="D40" s="55"/>
      <c r="E40" s="61">
        <v>0.05</v>
      </c>
      <c r="F40" s="61"/>
      <c r="G40" s="57"/>
      <c r="H40" s="169">
        <f>+E40*H36</f>
        <v>25943897.805000003</v>
      </c>
      <c r="I40" s="52"/>
      <c r="J40" s="168">
        <f>J36*E40</f>
        <v>28986300.426926751</v>
      </c>
      <c r="K40" s="70"/>
      <c r="L40" s="70"/>
      <c r="M40" s="70"/>
    </row>
    <row r="41" spans="2:14" x14ac:dyDescent="0.2">
      <c r="B41" s="70"/>
      <c r="C41" s="62" t="s">
        <v>33</v>
      </c>
      <c r="D41" s="63"/>
      <c r="E41" s="64">
        <v>0.19</v>
      </c>
      <c r="F41" s="64"/>
      <c r="G41" s="65"/>
      <c r="H41" s="170">
        <f>+E41*H40</f>
        <v>4929340.5829500007</v>
      </c>
      <c r="I41" s="52"/>
      <c r="J41" s="168">
        <f>J40*E41</f>
        <v>5507397.0811160831</v>
      </c>
      <c r="K41" s="70"/>
      <c r="L41" s="70"/>
      <c r="M41" s="70"/>
    </row>
    <row r="42" spans="2:14" x14ac:dyDescent="0.2">
      <c r="B42" s="70"/>
      <c r="C42" s="70"/>
      <c r="D42" s="70"/>
      <c r="E42" s="70"/>
      <c r="F42" s="70"/>
      <c r="G42" s="70"/>
      <c r="H42" s="70"/>
      <c r="I42" s="70"/>
      <c r="J42" s="70"/>
      <c r="K42" s="70"/>
      <c r="L42" s="70"/>
      <c r="M42" s="70"/>
    </row>
    <row r="43" spans="2:14" x14ac:dyDescent="0.2">
      <c r="B43" s="70"/>
      <c r="C43" s="70"/>
      <c r="D43" s="70"/>
      <c r="E43" s="70"/>
      <c r="F43" s="70"/>
      <c r="G43" s="71"/>
      <c r="H43" s="166">
        <f>+H36+H37</f>
        <v>654927756.18941998</v>
      </c>
      <c r="I43" s="73"/>
      <c r="J43" s="171">
        <f>J36+J37</f>
        <v>731730167.97733891</v>
      </c>
      <c r="K43" s="70"/>
      <c r="L43" s="70"/>
      <c r="M43" s="70"/>
    </row>
    <row r="44" spans="2:14" x14ac:dyDescent="0.2">
      <c r="B44" s="70"/>
      <c r="C44" s="70"/>
      <c r="D44" s="70"/>
      <c r="E44" s="70"/>
      <c r="F44" s="70"/>
      <c r="G44" s="70"/>
      <c r="H44" s="70"/>
      <c r="I44" s="70"/>
      <c r="J44" s="70"/>
      <c r="K44" s="70"/>
      <c r="L44" s="70"/>
      <c r="M44" s="70"/>
    </row>
    <row r="45" spans="2:14" x14ac:dyDescent="0.2">
      <c r="B45" s="70"/>
      <c r="C45" s="70"/>
      <c r="D45" s="70"/>
      <c r="E45" s="70"/>
      <c r="F45" s="70"/>
      <c r="G45" s="70"/>
      <c r="H45" s="70"/>
      <c r="I45" s="70"/>
      <c r="J45" s="70"/>
      <c r="K45" s="70"/>
      <c r="L45" s="70"/>
      <c r="M45" s="70"/>
    </row>
    <row r="48" spans="2:14" x14ac:dyDescent="0.2">
      <c r="F48" s="178">
        <f>+J36/1416</f>
        <v>409411.02297919139</v>
      </c>
      <c r="H48" s="183">
        <f>I48*F31</f>
        <v>44840000</v>
      </c>
      <c r="I48" s="178">
        <v>380000</v>
      </c>
    </row>
    <row r="49" spans="8:9" x14ac:dyDescent="0.2">
      <c r="H49" s="183">
        <f>+I49*E31</f>
        <v>50150000</v>
      </c>
      <c r="I49" s="178">
        <v>425000</v>
      </c>
    </row>
  </sheetData>
  <protectedRanges>
    <protectedRange sqref="E38:F40" name="Rango3_2_1_3"/>
  </protectedRanges>
  <mergeCells count="2">
    <mergeCell ref="B10:L10"/>
    <mergeCell ref="P1:Q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2:S59"/>
  <sheetViews>
    <sheetView zoomScale="90" zoomScaleNormal="90" workbookViewId="0">
      <selection activeCell="G47" sqref="G47"/>
    </sheetView>
  </sheetViews>
  <sheetFormatPr baseColWidth="10" defaultColWidth="11.5" defaultRowHeight="15" x14ac:dyDescent="0.2"/>
  <cols>
    <col min="1" max="1" width="5" customWidth="1"/>
    <col min="3" max="3" width="35.83203125" customWidth="1"/>
    <col min="6" max="6" width="16.33203125" customWidth="1"/>
    <col min="7" max="7" width="19.1640625" customWidth="1"/>
    <col min="8" max="8" width="15.1640625" hidden="1" customWidth="1"/>
    <col min="9" max="9" width="21" hidden="1" customWidth="1"/>
    <col min="10" max="10" width="15.6640625" hidden="1" customWidth="1"/>
    <col min="11" max="11" width="18.1640625" hidden="1" customWidth="1"/>
    <col min="12" max="12" width="15.5" hidden="1" customWidth="1"/>
    <col min="13" max="13" width="18" hidden="1" customWidth="1"/>
    <col min="14" max="14" width="16.6640625" hidden="1" customWidth="1"/>
    <col min="15" max="15" width="15.83203125" hidden="1" customWidth="1"/>
    <col min="18" max="18" width="13.83203125" customWidth="1"/>
  </cols>
  <sheetData>
    <row r="2" spans="2:19" x14ac:dyDescent="0.2">
      <c r="B2" s="248" t="s">
        <v>0</v>
      </c>
      <c r="C2" s="249"/>
      <c r="D2" s="249"/>
      <c r="E2" s="249"/>
      <c r="F2" s="249"/>
      <c r="G2" s="249"/>
      <c r="H2" s="249"/>
      <c r="I2" s="249"/>
      <c r="J2" s="249"/>
      <c r="K2" s="249"/>
      <c r="L2" s="249"/>
      <c r="M2" s="249"/>
      <c r="N2" s="249"/>
      <c r="O2" s="250"/>
      <c r="R2" t="s">
        <v>49</v>
      </c>
    </row>
    <row r="3" spans="2:19" ht="28" x14ac:dyDescent="0.2">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9" ht="45" hidden="1" x14ac:dyDescent="0.2">
      <c r="B4" s="5">
        <v>1</v>
      </c>
      <c r="C4" s="6" t="s">
        <v>113</v>
      </c>
      <c r="D4" s="7" t="s">
        <v>10</v>
      </c>
      <c r="E4" s="8">
        <v>525</v>
      </c>
      <c r="F4" s="9">
        <v>84115</v>
      </c>
      <c r="G4" s="9">
        <v>44160375</v>
      </c>
      <c r="H4" s="10">
        <v>525</v>
      </c>
      <c r="I4" s="11">
        <v>44160375</v>
      </c>
      <c r="J4" s="12"/>
      <c r="K4" s="13">
        <v>0</v>
      </c>
      <c r="L4" s="14"/>
      <c r="M4" s="15">
        <v>0</v>
      </c>
      <c r="N4" s="68" t="s">
        <v>68</v>
      </c>
      <c r="O4" s="69"/>
      <c r="Q4" t="s">
        <v>114</v>
      </c>
      <c r="R4" s="121">
        <v>66360</v>
      </c>
      <c r="S4" t="s">
        <v>70</v>
      </c>
    </row>
    <row r="5" spans="2:19" ht="29" hidden="1" x14ac:dyDescent="0.2">
      <c r="B5" s="5">
        <v>2</v>
      </c>
      <c r="C5" s="6" t="s">
        <v>115</v>
      </c>
      <c r="D5" s="7" t="s">
        <v>10</v>
      </c>
      <c r="E5" s="8">
        <v>960</v>
      </c>
      <c r="F5" s="9">
        <v>95140</v>
      </c>
      <c r="G5" s="9">
        <v>91334400</v>
      </c>
      <c r="H5" s="122">
        <v>960</v>
      </c>
      <c r="I5" s="123">
        <v>91334400</v>
      </c>
      <c r="J5" s="12"/>
      <c r="K5" s="13">
        <v>0</v>
      </c>
      <c r="L5" s="14"/>
      <c r="M5" s="15">
        <v>0</v>
      </c>
      <c r="N5" s="68"/>
      <c r="O5" s="69"/>
      <c r="Q5" t="s">
        <v>58</v>
      </c>
      <c r="R5" s="121">
        <v>90885</v>
      </c>
      <c r="S5" t="s">
        <v>73</v>
      </c>
    </row>
    <row r="6" spans="2:19" ht="29" hidden="1" x14ac:dyDescent="0.2">
      <c r="B6" s="17">
        <v>3</v>
      </c>
      <c r="C6" s="6" t="s">
        <v>116</v>
      </c>
      <c r="D6" s="7" t="s">
        <v>10</v>
      </c>
      <c r="E6" s="8">
        <v>1722</v>
      </c>
      <c r="F6" s="9">
        <v>96200</v>
      </c>
      <c r="G6" s="9">
        <v>165656400</v>
      </c>
      <c r="H6" s="10"/>
      <c r="I6" s="16">
        <v>0</v>
      </c>
      <c r="J6" s="12">
        <v>1722</v>
      </c>
      <c r="K6" s="13">
        <v>165656400</v>
      </c>
      <c r="L6" s="14"/>
      <c r="M6" s="15">
        <v>0</v>
      </c>
      <c r="N6" s="68"/>
      <c r="O6" s="69"/>
      <c r="R6" s="121"/>
    </row>
    <row r="7" spans="2:19" hidden="1" x14ac:dyDescent="0.2">
      <c r="B7" s="5">
        <v>4</v>
      </c>
      <c r="C7" s="6" t="s">
        <v>117</v>
      </c>
      <c r="D7" s="7" t="s">
        <v>17</v>
      </c>
      <c r="E7" s="8">
        <v>2</v>
      </c>
      <c r="F7" s="18">
        <v>5471416.75</v>
      </c>
      <c r="G7" s="9">
        <v>10942833.5</v>
      </c>
      <c r="H7" s="10">
        <v>2</v>
      </c>
      <c r="I7" s="19">
        <v>10942833.5</v>
      </c>
      <c r="J7" s="12"/>
      <c r="K7" s="20">
        <v>0</v>
      </c>
      <c r="L7" s="14"/>
      <c r="M7" s="21">
        <v>0</v>
      </c>
      <c r="N7" s="68"/>
      <c r="O7" s="69"/>
      <c r="R7" s="121"/>
    </row>
    <row r="8" spans="2:19" hidden="1" x14ac:dyDescent="0.2">
      <c r="B8" s="17">
        <v>5</v>
      </c>
      <c r="C8" s="6" t="s">
        <v>16</v>
      </c>
      <c r="D8" s="7" t="s">
        <v>17</v>
      </c>
      <c r="E8" s="8">
        <v>1</v>
      </c>
      <c r="F8" s="18">
        <v>5471416.75</v>
      </c>
      <c r="G8" s="9">
        <v>5471416.75</v>
      </c>
      <c r="H8" s="10"/>
      <c r="I8" s="19">
        <v>0</v>
      </c>
      <c r="J8" s="12">
        <v>1</v>
      </c>
      <c r="K8" s="20">
        <v>5471416.75</v>
      </c>
      <c r="L8" s="14"/>
      <c r="M8" s="21">
        <v>0</v>
      </c>
      <c r="N8" s="68"/>
      <c r="O8" s="69"/>
      <c r="R8" s="121"/>
    </row>
    <row r="9" spans="2:19" ht="29" hidden="1" x14ac:dyDescent="0.2">
      <c r="B9" s="22">
        <v>6</v>
      </c>
      <c r="C9" s="23" t="s">
        <v>118</v>
      </c>
      <c r="D9" s="24" t="s">
        <v>17</v>
      </c>
      <c r="E9" s="25">
        <v>0</v>
      </c>
      <c r="F9" s="26">
        <v>2430250</v>
      </c>
      <c r="G9" s="26">
        <v>0</v>
      </c>
      <c r="H9" s="10"/>
      <c r="I9" s="16">
        <v>0</v>
      </c>
      <c r="J9" s="12"/>
      <c r="K9" s="13">
        <v>0</v>
      </c>
      <c r="L9" s="14"/>
      <c r="M9" s="15">
        <v>0</v>
      </c>
      <c r="N9" s="68"/>
      <c r="O9" s="69"/>
      <c r="R9" s="121"/>
    </row>
    <row r="10" spans="2:19" ht="29" hidden="1" x14ac:dyDescent="0.2">
      <c r="B10" s="22">
        <v>7</v>
      </c>
      <c r="C10" s="23" t="s">
        <v>119</v>
      </c>
      <c r="D10" s="24" t="s">
        <v>10</v>
      </c>
      <c r="E10" s="25">
        <v>0</v>
      </c>
      <c r="F10" s="26">
        <v>356908</v>
      </c>
      <c r="G10" s="26">
        <v>0</v>
      </c>
      <c r="H10" s="10"/>
      <c r="I10" s="16">
        <v>0</v>
      </c>
      <c r="J10" s="12"/>
      <c r="K10" s="13">
        <v>0</v>
      </c>
      <c r="L10" s="14"/>
      <c r="M10" s="15">
        <v>0</v>
      </c>
      <c r="N10" s="68"/>
      <c r="O10" s="69"/>
      <c r="R10" s="121"/>
    </row>
    <row r="11" spans="2:19" ht="29" hidden="1" x14ac:dyDescent="0.2">
      <c r="B11" s="22">
        <v>8</v>
      </c>
      <c r="C11" s="23" t="s">
        <v>120</v>
      </c>
      <c r="D11" s="24" t="s">
        <v>17</v>
      </c>
      <c r="E11" s="25">
        <v>0</v>
      </c>
      <c r="F11" s="26">
        <v>47000</v>
      </c>
      <c r="G11" s="26">
        <v>0</v>
      </c>
      <c r="H11" s="10"/>
      <c r="I11" s="16">
        <v>0</v>
      </c>
      <c r="J11" s="12"/>
      <c r="K11" s="13">
        <v>0</v>
      </c>
      <c r="L11" s="14"/>
      <c r="M11" s="15">
        <v>0</v>
      </c>
      <c r="N11" s="68"/>
      <c r="O11" s="69"/>
      <c r="R11" s="121"/>
    </row>
    <row r="12" spans="2:19" ht="29" hidden="1" x14ac:dyDescent="0.2">
      <c r="B12" s="22">
        <v>9</v>
      </c>
      <c r="C12" s="23" t="s">
        <v>121</v>
      </c>
      <c r="D12" s="24" t="s">
        <v>24</v>
      </c>
      <c r="E12" s="25">
        <v>0</v>
      </c>
      <c r="F12" s="26">
        <v>111676</v>
      </c>
      <c r="G12" s="26">
        <v>0</v>
      </c>
      <c r="H12" s="10"/>
      <c r="I12" s="16">
        <v>0</v>
      </c>
      <c r="J12" s="12"/>
      <c r="K12" s="13">
        <v>0</v>
      </c>
      <c r="L12" s="14"/>
      <c r="M12" s="15">
        <v>0</v>
      </c>
      <c r="N12" s="68"/>
      <c r="O12" s="69"/>
      <c r="R12" s="121"/>
    </row>
    <row r="13" spans="2:19" ht="29" hidden="1" x14ac:dyDescent="0.2">
      <c r="B13" s="22">
        <v>10</v>
      </c>
      <c r="C13" s="23" t="s">
        <v>122</v>
      </c>
      <c r="D13" s="24" t="s">
        <v>10</v>
      </c>
      <c r="E13" s="25">
        <v>0</v>
      </c>
      <c r="F13" s="26">
        <v>420012</v>
      </c>
      <c r="G13" s="26">
        <v>0</v>
      </c>
      <c r="H13" s="10"/>
      <c r="I13" s="16">
        <v>0</v>
      </c>
      <c r="J13" s="12"/>
      <c r="K13" s="13">
        <v>0</v>
      </c>
      <c r="L13" s="14"/>
      <c r="M13" s="15">
        <v>0</v>
      </c>
      <c r="N13" s="68"/>
      <c r="O13" s="69"/>
      <c r="R13" s="121"/>
    </row>
    <row r="14" spans="2:19" hidden="1" x14ac:dyDescent="0.2">
      <c r="B14" s="5">
        <v>11</v>
      </c>
      <c r="C14" s="6" t="s">
        <v>123</v>
      </c>
      <c r="D14" s="7" t="s">
        <v>24</v>
      </c>
      <c r="E14" s="27">
        <v>211</v>
      </c>
      <c r="F14" s="9">
        <v>120000</v>
      </c>
      <c r="G14" s="9">
        <v>25320000</v>
      </c>
      <c r="H14" s="10">
        <v>211</v>
      </c>
      <c r="I14" s="16">
        <v>25320000</v>
      </c>
      <c r="J14" s="12"/>
      <c r="K14" s="13">
        <v>0</v>
      </c>
      <c r="L14" s="14"/>
      <c r="M14" s="15">
        <v>0</v>
      </c>
      <c r="N14" s="68"/>
      <c r="O14" s="69"/>
      <c r="Q14" t="s">
        <v>58</v>
      </c>
      <c r="R14" s="121">
        <v>100318</v>
      </c>
      <c r="S14" t="s">
        <v>124</v>
      </c>
    </row>
    <row r="15" spans="2:19" ht="45" hidden="1" x14ac:dyDescent="0.2">
      <c r="B15" s="5">
        <v>12</v>
      </c>
      <c r="C15" s="6" t="s">
        <v>125</v>
      </c>
      <c r="D15" s="7" t="s">
        <v>10</v>
      </c>
      <c r="E15" s="8">
        <v>525</v>
      </c>
      <c r="F15" s="124">
        <v>11230</v>
      </c>
      <c r="G15" s="9">
        <v>5895750</v>
      </c>
      <c r="H15" s="10">
        <v>525</v>
      </c>
      <c r="I15" s="16">
        <v>5895750</v>
      </c>
      <c r="J15" s="12"/>
      <c r="K15" s="13">
        <v>0</v>
      </c>
      <c r="L15" s="14"/>
      <c r="M15" s="15">
        <v>0</v>
      </c>
      <c r="N15" s="68" t="s">
        <v>68</v>
      </c>
      <c r="O15" s="69"/>
      <c r="R15" s="121">
        <v>0</v>
      </c>
      <c r="S15" t="s">
        <v>126</v>
      </c>
    </row>
    <row r="16" spans="2:19" ht="29" hidden="1" x14ac:dyDescent="0.2">
      <c r="B16" s="5">
        <v>13</v>
      </c>
      <c r="C16" s="6" t="s">
        <v>127</v>
      </c>
      <c r="D16" s="7" t="s">
        <v>13</v>
      </c>
      <c r="E16" s="8">
        <v>1398.75</v>
      </c>
      <c r="F16" s="9">
        <v>50227</v>
      </c>
      <c r="G16" s="9">
        <v>70255016.25</v>
      </c>
      <c r="H16" s="10">
        <v>1398.75</v>
      </c>
      <c r="I16" s="16">
        <v>70255016.25</v>
      </c>
      <c r="J16" s="12"/>
      <c r="K16" s="13">
        <v>0</v>
      </c>
      <c r="L16" s="14"/>
      <c r="M16" s="15">
        <v>0</v>
      </c>
      <c r="N16" s="68"/>
      <c r="O16" s="69"/>
      <c r="Q16" t="s">
        <v>58</v>
      </c>
      <c r="R16" s="121">
        <v>10900</v>
      </c>
      <c r="S16" t="s">
        <v>128</v>
      </c>
    </row>
    <row r="17" spans="2:19" ht="29" hidden="1" x14ac:dyDescent="0.2">
      <c r="B17" s="5">
        <v>14</v>
      </c>
      <c r="C17" s="6" t="s">
        <v>129</v>
      </c>
      <c r="D17" s="7" t="s">
        <v>13</v>
      </c>
      <c r="E17" s="8">
        <v>979.13</v>
      </c>
      <c r="F17" s="9">
        <v>84981</v>
      </c>
      <c r="G17" s="9">
        <v>83207446.530000001</v>
      </c>
      <c r="H17" s="10">
        <v>979.13</v>
      </c>
      <c r="I17" s="16">
        <v>83207446.530000001</v>
      </c>
      <c r="J17" s="12"/>
      <c r="K17" s="13">
        <v>0</v>
      </c>
      <c r="L17" s="14"/>
      <c r="M17" s="15">
        <v>0</v>
      </c>
      <c r="N17" s="68"/>
      <c r="O17" s="69"/>
      <c r="Q17" t="s">
        <v>58</v>
      </c>
      <c r="R17" s="121">
        <v>79214</v>
      </c>
      <c r="S17" t="s">
        <v>65</v>
      </c>
    </row>
    <row r="18" spans="2:19" ht="29" hidden="1" x14ac:dyDescent="0.2">
      <c r="B18" s="5">
        <v>15</v>
      </c>
      <c r="C18" s="6" t="s">
        <v>130</v>
      </c>
      <c r="D18" s="7" t="s">
        <v>10</v>
      </c>
      <c r="E18" s="8">
        <v>3047.5</v>
      </c>
      <c r="F18" s="9">
        <v>7695</v>
      </c>
      <c r="G18" s="9">
        <v>23450512.5</v>
      </c>
      <c r="H18" s="10">
        <v>1401.85</v>
      </c>
      <c r="I18" s="16">
        <v>10787235.75</v>
      </c>
      <c r="J18" s="12">
        <v>1645.65</v>
      </c>
      <c r="K18" s="13">
        <v>12663276.75</v>
      </c>
      <c r="L18" s="14"/>
      <c r="M18" s="15">
        <v>0</v>
      </c>
      <c r="N18" s="68"/>
      <c r="O18" s="69" t="s">
        <v>57</v>
      </c>
      <c r="Q18" t="s">
        <v>58</v>
      </c>
      <c r="R18" s="121">
        <v>1350</v>
      </c>
    </row>
    <row r="19" spans="2:19" hidden="1" x14ac:dyDescent="0.2">
      <c r="B19" s="5">
        <v>16</v>
      </c>
      <c r="C19" s="6" t="s">
        <v>131</v>
      </c>
      <c r="D19" s="7" t="s">
        <v>24</v>
      </c>
      <c r="E19" s="8">
        <v>334</v>
      </c>
      <c r="F19" s="9">
        <v>46331</v>
      </c>
      <c r="G19" s="9">
        <v>15474554</v>
      </c>
      <c r="H19" s="10">
        <v>334</v>
      </c>
      <c r="I19" s="16">
        <v>15474554</v>
      </c>
      <c r="J19" s="12"/>
      <c r="K19" s="13">
        <v>0</v>
      </c>
      <c r="L19" s="14"/>
      <c r="M19" s="15">
        <v>0</v>
      </c>
      <c r="N19" s="68"/>
      <c r="O19" s="69"/>
      <c r="Q19" t="s">
        <v>58</v>
      </c>
      <c r="R19" s="121">
        <v>46169</v>
      </c>
      <c r="S19" t="s">
        <v>132</v>
      </c>
    </row>
    <row r="20" spans="2:19" hidden="1" x14ac:dyDescent="0.2">
      <c r="B20" s="17">
        <v>17</v>
      </c>
      <c r="C20" s="6" t="s">
        <v>133</v>
      </c>
      <c r="D20" s="7" t="s">
        <v>24</v>
      </c>
      <c r="E20" s="8">
        <v>1147</v>
      </c>
      <c r="F20" s="9">
        <v>37240</v>
      </c>
      <c r="G20" s="9">
        <v>42714280</v>
      </c>
      <c r="H20" s="10"/>
      <c r="I20" s="16">
        <v>0</v>
      </c>
      <c r="J20" s="12">
        <v>1147</v>
      </c>
      <c r="K20" s="13">
        <v>42714280</v>
      </c>
      <c r="L20" s="14"/>
      <c r="M20" s="15">
        <v>0</v>
      </c>
      <c r="N20" s="68"/>
      <c r="O20" s="69"/>
      <c r="R20" s="121"/>
    </row>
    <row r="21" spans="2:19" hidden="1" x14ac:dyDescent="0.2">
      <c r="B21" s="17">
        <v>18</v>
      </c>
      <c r="C21" s="6" t="s">
        <v>134</v>
      </c>
      <c r="D21" s="7" t="s">
        <v>10</v>
      </c>
      <c r="E21" s="8">
        <v>126</v>
      </c>
      <c r="F21" s="9">
        <v>136676</v>
      </c>
      <c r="G21" s="9">
        <v>17221176</v>
      </c>
      <c r="H21" s="10">
        <v>126</v>
      </c>
      <c r="I21" s="16">
        <v>17221176</v>
      </c>
      <c r="J21" s="12"/>
      <c r="K21" s="13">
        <v>0</v>
      </c>
      <c r="L21" s="14"/>
      <c r="M21" s="15">
        <v>0</v>
      </c>
      <c r="N21" s="68"/>
      <c r="O21" s="69"/>
    </row>
    <row r="22" spans="2:19" ht="29" hidden="1" x14ac:dyDescent="0.2">
      <c r="B22" s="5">
        <v>19</v>
      </c>
      <c r="C22" s="6" t="s">
        <v>135</v>
      </c>
      <c r="D22" s="7" t="s">
        <v>10</v>
      </c>
      <c r="E22" s="8">
        <v>32</v>
      </c>
      <c r="F22" s="9">
        <v>149868</v>
      </c>
      <c r="G22" s="9">
        <v>4795776</v>
      </c>
      <c r="H22" s="10">
        <v>32</v>
      </c>
      <c r="I22" s="16">
        <v>4795776</v>
      </c>
      <c r="J22" s="12"/>
      <c r="K22" s="13">
        <v>0</v>
      </c>
      <c r="L22" s="14"/>
      <c r="M22" s="15">
        <v>0</v>
      </c>
      <c r="N22" s="68"/>
      <c r="O22" s="69"/>
    </row>
    <row r="23" spans="2:19" ht="29" hidden="1" x14ac:dyDescent="0.2">
      <c r="B23" s="22">
        <v>20</v>
      </c>
      <c r="C23" s="23" t="s">
        <v>136</v>
      </c>
      <c r="D23" s="24" t="s">
        <v>137</v>
      </c>
      <c r="E23" s="25">
        <v>0</v>
      </c>
      <c r="F23" s="26">
        <v>2380000</v>
      </c>
      <c r="G23" s="26">
        <v>0</v>
      </c>
      <c r="H23" s="28"/>
      <c r="I23" s="16">
        <v>0</v>
      </c>
      <c r="J23" s="29"/>
      <c r="K23" s="13">
        <v>0</v>
      </c>
      <c r="L23" s="30"/>
      <c r="M23" s="15">
        <v>0</v>
      </c>
      <c r="N23" s="68"/>
      <c r="O23" s="69"/>
    </row>
    <row r="24" spans="2:19" ht="29" hidden="1" x14ac:dyDescent="0.2">
      <c r="B24" s="22">
        <v>21</v>
      </c>
      <c r="C24" s="23" t="s">
        <v>138</v>
      </c>
      <c r="D24" s="24" t="s">
        <v>137</v>
      </c>
      <c r="E24" s="25">
        <v>0</v>
      </c>
      <c r="F24" s="26">
        <v>4165000</v>
      </c>
      <c r="G24" s="26">
        <v>0</v>
      </c>
      <c r="H24" s="28"/>
      <c r="I24" s="16">
        <v>0</v>
      </c>
      <c r="J24" s="29"/>
      <c r="K24" s="13">
        <v>0</v>
      </c>
      <c r="L24" s="30"/>
      <c r="M24" s="15">
        <v>0</v>
      </c>
      <c r="N24" s="68"/>
      <c r="O24" s="69"/>
    </row>
    <row r="25" spans="2:19" ht="75" hidden="1" x14ac:dyDescent="0.2">
      <c r="B25" s="5">
        <v>22</v>
      </c>
      <c r="C25" s="6" t="s">
        <v>139</v>
      </c>
      <c r="D25" s="7" t="s">
        <v>17</v>
      </c>
      <c r="E25" s="8">
        <v>24</v>
      </c>
      <c r="F25" s="18">
        <v>1236700</v>
      </c>
      <c r="G25" s="9">
        <v>29680800</v>
      </c>
      <c r="H25" s="117">
        <v>16.799999999999997</v>
      </c>
      <c r="I25" s="19">
        <v>20776559.999999996</v>
      </c>
      <c r="J25" s="120">
        <v>7.1999999999999993</v>
      </c>
      <c r="K25" s="20">
        <v>8904240</v>
      </c>
      <c r="L25" s="30"/>
      <c r="M25" s="21">
        <v>0</v>
      </c>
      <c r="N25" s="68" t="s">
        <v>90</v>
      </c>
      <c r="O25" s="69"/>
    </row>
    <row r="26" spans="2:19" ht="29" hidden="1" x14ac:dyDescent="0.2">
      <c r="B26" s="5">
        <v>23</v>
      </c>
      <c r="C26" s="6" t="s">
        <v>140</v>
      </c>
      <c r="D26" s="7" t="s">
        <v>24</v>
      </c>
      <c r="E26" s="8">
        <v>50</v>
      </c>
      <c r="F26" s="9">
        <v>48580</v>
      </c>
      <c r="G26" s="9">
        <v>2429000</v>
      </c>
      <c r="H26" s="10">
        <v>50</v>
      </c>
      <c r="I26" s="16">
        <v>2429000</v>
      </c>
      <c r="J26" s="12"/>
      <c r="K26" s="13">
        <v>0</v>
      </c>
      <c r="L26" s="14"/>
      <c r="M26" s="15">
        <v>0</v>
      </c>
      <c r="N26" s="68"/>
      <c r="O26" s="69"/>
    </row>
    <row r="27" spans="2:19" hidden="1" x14ac:dyDescent="0.2">
      <c r="B27" s="5">
        <v>24</v>
      </c>
      <c r="C27" s="6" t="s">
        <v>141</v>
      </c>
      <c r="D27" s="7" t="s">
        <v>24</v>
      </c>
      <c r="E27" s="8">
        <v>23</v>
      </c>
      <c r="F27" s="9">
        <v>93406</v>
      </c>
      <c r="G27" s="9">
        <v>2148338</v>
      </c>
      <c r="H27" s="10">
        <v>23</v>
      </c>
      <c r="I27" s="16">
        <v>2148338</v>
      </c>
      <c r="J27" s="12"/>
      <c r="K27" s="13">
        <v>0</v>
      </c>
      <c r="L27" s="14"/>
      <c r="M27" s="15">
        <v>0</v>
      </c>
      <c r="N27" s="68"/>
      <c r="O27" s="69"/>
    </row>
    <row r="28" spans="2:19" hidden="1" x14ac:dyDescent="0.2">
      <c r="B28" s="17">
        <v>25</v>
      </c>
      <c r="C28" s="6" t="s">
        <v>19</v>
      </c>
      <c r="D28" s="7" t="s">
        <v>3</v>
      </c>
      <c r="E28" s="8">
        <v>10</v>
      </c>
      <c r="F28" s="9">
        <v>576571</v>
      </c>
      <c r="G28" s="9">
        <v>5765710</v>
      </c>
      <c r="H28" s="10"/>
      <c r="I28" s="16">
        <v>0</v>
      </c>
      <c r="J28" s="12">
        <v>10</v>
      </c>
      <c r="K28" s="13">
        <v>5765710</v>
      </c>
      <c r="L28" s="14"/>
      <c r="M28" s="15">
        <v>0</v>
      </c>
      <c r="N28" s="68"/>
      <c r="O28" s="69"/>
    </row>
    <row r="29" spans="2:19" hidden="1" x14ac:dyDescent="0.2">
      <c r="B29" s="22">
        <v>26</v>
      </c>
      <c r="C29" s="23" t="s">
        <v>142</v>
      </c>
      <c r="D29" s="24" t="s">
        <v>137</v>
      </c>
      <c r="E29" s="25">
        <v>0</v>
      </c>
      <c r="F29" s="26">
        <v>3500000</v>
      </c>
      <c r="G29" s="26">
        <v>0</v>
      </c>
      <c r="H29" s="10">
        <v>0</v>
      </c>
      <c r="I29" s="16">
        <v>0</v>
      </c>
      <c r="J29" s="12"/>
      <c r="K29" s="13">
        <v>0</v>
      </c>
      <c r="L29" s="14"/>
      <c r="M29" s="15">
        <v>0</v>
      </c>
      <c r="N29" s="68"/>
      <c r="O29" s="69"/>
    </row>
    <row r="30" spans="2:19" hidden="1" x14ac:dyDescent="0.2">
      <c r="B30" s="17">
        <v>27</v>
      </c>
      <c r="C30" s="6" t="s">
        <v>20</v>
      </c>
      <c r="D30" s="7" t="s">
        <v>17</v>
      </c>
      <c r="E30" s="8">
        <v>2</v>
      </c>
      <c r="F30" s="9">
        <v>800000</v>
      </c>
      <c r="G30" s="9">
        <v>1600000</v>
      </c>
      <c r="H30" s="10">
        <v>1</v>
      </c>
      <c r="I30" s="16">
        <v>800000</v>
      </c>
      <c r="J30" s="12">
        <v>1</v>
      </c>
      <c r="K30" s="13">
        <v>800000</v>
      </c>
      <c r="L30" s="14"/>
      <c r="M30" s="15">
        <v>0</v>
      </c>
      <c r="N30" s="68"/>
      <c r="O30" s="69"/>
    </row>
    <row r="31" spans="2:19" hidden="1" x14ac:dyDescent="0.2">
      <c r="B31" s="17">
        <v>28</v>
      </c>
      <c r="C31" s="6" t="s">
        <v>143</v>
      </c>
      <c r="D31" s="7" t="s">
        <v>13</v>
      </c>
      <c r="E31" s="8">
        <v>20</v>
      </c>
      <c r="F31" s="9">
        <v>90000</v>
      </c>
      <c r="G31" s="9">
        <v>1800000</v>
      </c>
      <c r="H31" s="10">
        <v>20</v>
      </c>
      <c r="I31" s="16">
        <v>1800000</v>
      </c>
      <c r="J31" s="12"/>
      <c r="K31" s="13">
        <v>0</v>
      </c>
      <c r="L31" s="14"/>
      <c r="M31" s="15">
        <v>0</v>
      </c>
      <c r="N31" s="68"/>
      <c r="O31" s="69"/>
    </row>
    <row r="32" spans="2:19" hidden="1" x14ac:dyDescent="0.2">
      <c r="B32" s="17">
        <v>29</v>
      </c>
      <c r="C32" s="6" t="s">
        <v>21</v>
      </c>
      <c r="D32" s="7" t="s">
        <v>17</v>
      </c>
      <c r="E32" s="8">
        <v>10</v>
      </c>
      <c r="F32" s="18">
        <v>54680</v>
      </c>
      <c r="G32" s="9">
        <v>546800</v>
      </c>
      <c r="H32" s="10"/>
      <c r="I32" s="19">
        <v>0</v>
      </c>
      <c r="J32" s="12">
        <v>10</v>
      </c>
      <c r="K32" s="20">
        <v>546800</v>
      </c>
      <c r="L32" s="14"/>
      <c r="M32" s="21">
        <v>0</v>
      </c>
      <c r="N32" s="68"/>
      <c r="O32" s="69"/>
    </row>
    <row r="33" spans="2:15" hidden="1" x14ac:dyDescent="0.2">
      <c r="B33" s="5">
        <v>30</v>
      </c>
      <c r="C33" s="6" t="s">
        <v>144</v>
      </c>
      <c r="D33" s="7" t="s">
        <v>24</v>
      </c>
      <c r="E33" s="8">
        <v>40</v>
      </c>
      <c r="F33" s="9">
        <v>310000</v>
      </c>
      <c r="G33" s="9">
        <v>12400000</v>
      </c>
      <c r="H33" s="10">
        <v>40</v>
      </c>
      <c r="I33" s="16">
        <v>12400000</v>
      </c>
      <c r="J33" s="12"/>
      <c r="K33" s="13">
        <v>0</v>
      </c>
      <c r="L33" s="14"/>
      <c r="M33" s="15">
        <v>0</v>
      </c>
      <c r="N33" s="68"/>
      <c r="O33" s="69"/>
    </row>
    <row r="34" spans="2:15" hidden="1" x14ac:dyDescent="0.2">
      <c r="B34" s="5">
        <v>31</v>
      </c>
      <c r="C34" s="6" t="s">
        <v>145</v>
      </c>
      <c r="D34" s="7" t="s">
        <v>17</v>
      </c>
      <c r="E34" s="8">
        <v>82</v>
      </c>
      <c r="F34" s="9">
        <v>46000</v>
      </c>
      <c r="G34" s="9">
        <v>3772000</v>
      </c>
      <c r="H34" s="10">
        <v>82</v>
      </c>
      <c r="I34" s="16">
        <v>3772000</v>
      </c>
      <c r="J34" s="12"/>
      <c r="K34" s="13">
        <v>0</v>
      </c>
      <c r="L34" s="14"/>
      <c r="M34" s="15">
        <v>0</v>
      </c>
      <c r="N34" s="68"/>
      <c r="O34" s="69"/>
    </row>
    <row r="35" spans="2:15" ht="120" hidden="1" x14ac:dyDescent="0.2">
      <c r="B35" s="31">
        <v>32</v>
      </c>
      <c r="C35" s="32" t="s">
        <v>146</v>
      </c>
      <c r="D35" s="33" t="s">
        <v>10</v>
      </c>
      <c r="E35" s="34">
        <v>12021.653</v>
      </c>
      <c r="F35" s="35">
        <v>12644.32</v>
      </c>
      <c r="G35" s="35">
        <v>152005627.46096</v>
      </c>
      <c r="H35" s="10"/>
      <c r="I35" s="36">
        <v>0</v>
      </c>
      <c r="J35" s="12"/>
      <c r="K35" s="37">
        <v>0</v>
      </c>
      <c r="L35" s="118">
        <v>12021.653</v>
      </c>
      <c r="M35" s="43">
        <v>152005627.46096</v>
      </c>
      <c r="N35" s="68" t="s">
        <v>147</v>
      </c>
      <c r="O35" s="69"/>
    </row>
    <row r="36" spans="2:15" ht="120" hidden="1" x14ac:dyDescent="0.2">
      <c r="B36" s="31">
        <v>33</v>
      </c>
      <c r="C36" s="32" t="s">
        <v>148</v>
      </c>
      <c r="D36" s="33" t="s">
        <v>10</v>
      </c>
      <c r="E36" s="34">
        <v>5152.1369999999997</v>
      </c>
      <c r="F36" s="35">
        <v>16683.396213681317</v>
      </c>
      <c r="G36" s="35">
        <v>85955142.918167412</v>
      </c>
      <c r="H36" s="10"/>
      <c r="I36" s="36">
        <v>0</v>
      </c>
      <c r="J36" s="12"/>
      <c r="K36" s="37">
        <v>0</v>
      </c>
      <c r="L36" s="118">
        <v>5152.1369999999997</v>
      </c>
      <c r="M36" s="43">
        <v>85955142.918167412</v>
      </c>
      <c r="N36" s="68" t="s">
        <v>147</v>
      </c>
      <c r="O36" s="69"/>
    </row>
    <row r="37" spans="2:15" hidden="1" x14ac:dyDescent="0.2">
      <c r="B37" s="5">
        <v>34</v>
      </c>
      <c r="C37" s="32" t="s">
        <v>149</v>
      </c>
      <c r="D37" s="33" t="s">
        <v>24</v>
      </c>
      <c r="E37" s="39">
        <v>117.5</v>
      </c>
      <c r="F37" s="40">
        <v>415530</v>
      </c>
      <c r="G37" s="35">
        <v>48824775</v>
      </c>
      <c r="H37" s="10">
        <v>117.5</v>
      </c>
      <c r="I37" s="41">
        <v>48824775</v>
      </c>
      <c r="J37" s="12"/>
      <c r="K37" s="42">
        <v>0</v>
      </c>
      <c r="L37" s="14"/>
      <c r="M37" s="43">
        <v>0</v>
      </c>
      <c r="N37" s="68"/>
      <c r="O37" s="69">
        <v>121</v>
      </c>
    </row>
    <row r="38" spans="2:15" hidden="1" x14ac:dyDescent="0.2">
      <c r="B38" s="31">
        <v>35</v>
      </c>
      <c r="C38" s="6" t="s">
        <v>150</v>
      </c>
      <c r="D38" s="7" t="s">
        <v>137</v>
      </c>
      <c r="E38" s="8">
        <v>1</v>
      </c>
      <c r="F38" s="9">
        <v>1700750</v>
      </c>
      <c r="G38" s="9">
        <v>1700750</v>
      </c>
      <c r="H38" s="10"/>
      <c r="I38" s="16">
        <v>0</v>
      </c>
      <c r="J38" s="12"/>
      <c r="K38" s="13">
        <v>0</v>
      </c>
      <c r="L38" s="118">
        <v>1</v>
      </c>
      <c r="M38" s="119">
        <v>1700750</v>
      </c>
      <c r="N38" s="68"/>
      <c r="O38" s="69"/>
    </row>
    <row r="39" spans="2:15" hidden="1" x14ac:dyDescent="0.2">
      <c r="B39" s="22">
        <v>36</v>
      </c>
      <c r="C39" s="23" t="s">
        <v>151</v>
      </c>
      <c r="D39" s="24" t="s">
        <v>10</v>
      </c>
      <c r="E39" s="25">
        <v>0</v>
      </c>
      <c r="F39" s="26">
        <v>84115</v>
      </c>
      <c r="G39" s="26">
        <v>0</v>
      </c>
      <c r="H39" s="10"/>
      <c r="I39" s="16">
        <v>0</v>
      </c>
      <c r="J39" s="12"/>
      <c r="K39" s="13">
        <v>0</v>
      </c>
      <c r="L39" s="118"/>
      <c r="M39" s="119">
        <v>0</v>
      </c>
      <c r="N39" s="68"/>
      <c r="O39" s="69"/>
    </row>
    <row r="40" spans="2:15" ht="28" x14ac:dyDescent="0.2">
      <c r="B40" s="31">
        <v>1</v>
      </c>
      <c r="C40" s="32" t="s">
        <v>152</v>
      </c>
      <c r="D40" s="33" t="s">
        <v>10</v>
      </c>
      <c r="E40" s="181">
        <v>60</v>
      </c>
      <c r="F40" s="35">
        <v>7610</v>
      </c>
      <c r="G40" s="35">
        <f>+E40*F40</f>
        <v>456600</v>
      </c>
      <c r="H40" s="10"/>
      <c r="I40" s="36">
        <v>0</v>
      </c>
      <c r="J40" s="12"/>
      <c r="K40" s="37">
        <v>0</v>
      </c>
      <c r="L40" s="118">
        <v>6</v>
      </c>
      <c r="M40" s="43">
        <v>1499220</v>
      </c>
      <c r="N40" s="68"/>
      <c r="O40" s="69"/>
    </row>
    <row r="41" spans="2:15" x14ac:dyDescent="0.2">
      <c r="B41" s="31"/>
      <c r="C41" s="32" t="s">
        <v>153</v>
      </c>
      <c r="D41" s="33" t="s">
        <v>17</v>
      </c>
      <c r="E41" s="181">
        <v>6</v>
      </c>
      <c r="F41" s="35">
        <v>45560</v>
      </c>
      <c r="G41" s="35">
        <f>+E41*F41</f>
        <v>273360</v>
      </c>
      <c r="H41" s="10"/>
      <c r="I41" s="36"/>
      <c r="J41" s="12"/>
      <c r="K41" s="37"/>
      <c r="L41" s="118"/>
      <c r="M41" s="43"/>
      <c r="N41" s="68"/>
      <c r="O41" s="69"/>
    </row>
    <row r="42" spans="2:15" ht="28" x14ac:dyDescent="0.2">
      <c r="B42" s="31">
        <v>2</v>
      </c>
      <c r="C42" s="32" t="s">
        <v>154</v>
      </c>
      <c r="D42" s="33" t="s">
        <v>10</v>
      </c>
      <c r="E42" s="33">
        <v>60</v>
      </c>
      <c r="F42" s="35">
        <v>40710</v>
      </c>
      <c r="G42" s="35">
        <f t="shared" ref="G42:G47" si="0">+E42*F42</f>
        <v>2442600</v>
      </c>
      <c r="H42" s="10"/>
      <c r="I42" s="36">
        <v>0</v>
      </c>
      <c r="J42" s="12"/>
      <c r="K42" s="37">
        <v>0</v>
      </c>
      <c r="L42" s="118">
        <v>6</v>
      </c>
      <c r="M42" s="43">
        <v>1858824</v>
      </c>
      <c r="N42" s="68"/>
      <c r="O42" s="69"/>
    </row>
    <row r="43" spans="2:15" x14ac:dyDescent="0.2">
      <c r="B43" s="31">
        <v>3</v>
      </c>
      <c r="C43" s="32" t="s">
        <v>155</v>
      </c>
      <c r="D43" s="33" t="s">
        <v>10</v>
      </c>
      <c r="E43" s="33">
        <v>60</v>
      </c>
      <c r="F43" s="35">
        <v>15000</v>
      </c>
      <c r="G43" s="35">
        <f t="shared" si="0"/>
        <v>900000</v>
      </c>
      <c r="H43" s="10"/>
      <c r="I43" s="36"/>
      <c r="J43" s="12"/>
      <c r="K43" s="37"/>
      <c r="L43" s="118"/>
      <c r="M43" s="43"/>
      <c r="N43" s="68"/>
      <c r="O43" s="69"/>
    </row>
    <row r="44" spans="2:15" x14ac:dyDescent="0.2">
      <c r="B44" s="31">
        <v>4</v>
      </c>
      <c r="C44" s="32" t="s">
        <v>156</v>
      </c>
      <c r="D44" s="33" t="s">
        <v>10</v>
      </c>
      <c r="E44" s="33">
        <v>60</v>
      </c>
      <c r="F44" s="35">
        <v>21000</v>
      </c>
      <c r="G44" s="35">
        <f t="shared" si="0"/>
        <v>1260000</v>
      </c>
      <c r="H44" s="10"/>
      <c r="I44" s="36"/>
      <c r="J44" s="12"/>
      <c r="K44" s="37"/>
      <c r="L44" s="118"/>
      <c r="M44" s="43"/>
      <c r="N44" s="68"/>
      <c r="O44" s="69"/>
    </row>
    <row r="45" spans="2:15" x14ac:dyDescent="0.2">
      <c r="B45" s="31">
        <v>5</v>
      </c>
      <c r="C45" s="32" t="s">
        <v>157</v>
      </c>
      <c r="D45" s="33" t="s">
        <v>24</v>
      </c>
      <c r="E45" s="33">
        <v>20.34</v>
      </c>
      <c r="F45" s="35">
        <v>9500</v>
      </c>
      <c r="G45" s="35">
        <f t="shared" si="0"/>
        <v>193230</v>
      </c>
      <c r="H45" s="10"/>
      <c r="I45" s="36"/>
      <c r="J45" s="12"/>
      <c r="K45" s="37"/>
      <c r="L45" s="118"/>
      <c r="M45" s="43"/>
      <c r="N45" s="68"/>
      <c r="O45" s="69"/>
    </row>
    <row r="46" spans="2:15" x14ac:dyDescent="0.2">
      <c r="B46" s="31"/>
      <c r="C46" s="32" t="s">
        <v>158</v>
      </c>
      <c r="D46" s="33" t="s">
        <v>17</v>
      </c>
      <c r="E46" s="181">
        <v>6</v>
      </c>
      <c r="F46" s="35">
        <v>45560</v>
      </c>
      <c r="G46" s="35">
        <f>+E46*F46</f>
        <v>273360</v>
      </c>
      <c r="H46" s="10"/>
      <c r="I46" s="36"/>
      <c r="J46" s="12"/>
      <c r="K46" s="37"/>
      <c r="L46" s="118"/>
      <c r="M46" s="43"/>
      <c r="N46" s="68"/>
      <c r="O46" s="69"/>
    </row>
    <row r="47" spans="2:15" ht="28" x14ac:dyDescent="0.2">
      <c r="B47" s="31">
        <v>6</v>
      </c>
      <c r="C47" s="32" t="s">
        <v>159</v>
      </c>
      <c r="D47" s="33" t="s">
        <v>24</v>
      </c>
      <c r="E47" s="39">
        <v>34</v>
      </c>
      <c r="F47" s="35">
        <v>111676</v>
      </c>
      <c r="G47" s="35">
        <f t="shared" si="0"/>
        <v>3796984</v>
      </c>
      <c r="H47" s="10"/>
      <c r="I47" s="36">
        <v>0</v>
      </c>
      <c r="J47" s="12"/>
      <c r="K47" s="37">
        <v>0</v>
      </c>
      <c r="L47" s="118">
        <v>15</v>
      </c>
      <c r="M47" s="43">
        <v>1675140</v>
      </c>
      <c r="N47" s="68"/>
      <c r="O47" s="69"/>
    </row>
    <row r="48" spans="2:15" x14ac:dyDescent="0.2">
      <c r="B48" s="44"/>
      <c r="C48" s="186"/>
      <c r="D48" s="44"/>
      <c r="E48" s="44"/>
      <c r="F48" s="46"/>
      <c r="G48" s="46"/>
      <c r="H48" s="46"/>
      <c r="I48" s="46"/>
      <c r="J48" s="46"/>
      <c r="K48" s="46"/>
      <c r="L48" s="46"/>
      <c r="M48" s="46"/>
      <c r="N48" s="70"/>
      <c r="O48" s="70"/>
    </row>
    <row r="49" spans="2:15" x14ac:dyDescent="0.2">
      <c r="B49" s="44"/>
      <c r="C49" s="45"/>
      <c r="D49" s="44"/>
      <c r="E49" s="44"/>
      <c r="F49" s="46"/>
      <c r="G49" s="46"/>
      <c r="H49" s="46"/>
      <c r="I49" s="46"/>
      <c r="J49" s="46"/>
      <c r="K49" s="46"/>
      <c r="L49" s="46"/>
      <c r="M49" s="46"/>
      <c r="N49" s="70"/>
      <c r="O49" s="70"/>
    </row>
    <row r="50" spans="2:15" hidden="1" x14ac:dyDescent="0.2">
      <c r="B50" s="44"/>
      <c r="C50" s="47" t="s">
        <v>28</v>
      </c>
      <c r="D50" s="48"/>
      <c r="E50" s="49"/>
      <c r="F50" s="50"/>
      <c r="G50" s="51">
        <v>959562063.90912747</v>
      </c>
      <c r="H50" s="52"/>
      <c r="I50" s="53">
        <v>472345236.02999997</v>
      </c>
      <c r="J50" s="52"/>
      <c r="K50" s="53">
        <v>242522123.5</v>
      </c>
      <c r="L50" s="52"/>
      <c r="M50" s="53">
        <v>244694704.37912741</v>
      </c>
      <c r="N50" s="70"/>
      <c r="O50" s="70"/>
    </row>
    <row r="51" spans="2:15" hidden="1" x14ac:dyDescent="0.2">
      <c r="B51" s="70"/>
      <c r="C51" s="54" t="s">
        <v>29</v>
      </c>
      <c r="D51" s="55"/>
      <c r="E51" s="56"/>
      <c r="F51" s="57"/>
      <c r="G51" s="58">
        <v>251597173</v>
      </c>
      <c r="H51" s="52"/>
      <c r="I51" s="59">
        <v>123848921</v>
      </c>
      <c r="J51" s="52"/>
      <c r="K51" s="59">
        <v>63589301</v>
      </c>
      <c r="L51" s="52"/>
      <c r="M51" s="59">
        <v>64158951</v>
      </c>
      <c r="N51" s="70"/>
      <c r="O51" s="70"/>
    </row>
    <row r="52" spans="2:15" hidden="1" x14ac:dyDescent="0.2">
      <c r="B52" s="70"/>
      <c r="C52" s="60" t="s">
        <v>30</v>
      </c>
      <c r="D52" s="55"/>
      <c r="E52" s="61">
        <v>0.17269999999999999</v>
      </c>
      <c r="F52" s="57"/>
      <c r="G52" s="58">
        <v>165716368</v>
      </c>
      <c r="H52" s="52"/>
      <c r="I52" s="59">
        <v>81574022</v>
      </c>
      <c r="J52" s="52"/>
      <c r="K52" s="59">
        <v>41883571</v>
      </c>
      <c r="L52" s="52"/>
      <c r="M52" s="59">
        <v>42258775</v>
      </c>
      <c r="N52" s="70"/>
      <c r="O52" s="70"/>
    </row>
    <row r="53" spans="2:15" hidden="1" x14ac:dyDescent="0.2">
      <c r="B53" s="70"/>
      <c r="C53" s="60" t="s">
        <v>31</v>
      </c>
      <c r="D53" s="55"/>
      <c r="E53" s="61">
        <v>0.03</v>
      </c>
      <c r="F53" s="57"/>
      <c r="G53" s="58">
        <v>28786862</v>
      </c>
      <c r="H53" s="52"/>
      <c r="I53" s="59">
        <v>14170357</v>
      </c>
      <c r="J53" s="52"/>
      <c r="K53" s="59">
        <v>7275664</v>
      </c>
      <c r="L53" s="52"/>
      <c r="M53" s="59">
        <v>7340841</v>
      </c>
      <c r="N53" s="70"/>
      <c r="O53" s="70"/>
    </row>
    <row r="54" spans="2:15" hidden="1" x14ac:dyDescent="0.2">
      <c r="B54" s="70"/>
      <c r="C54" s="60" t="s">
        <v>32</v>
      </c>
      <c r="D54" s="55"/>
      <c r="E54" s="61">
        <v>0.05</v>
      </c>
      <c r="F54" s="57"/>
      <c r="G54" s="58">
        <v>47978103</v>
      </c>
      <c r="H54" s="52"/>
      <c r="I54" s="59">
        <v>23617262</v>
      </c>
      <c r="J54" s="52"/>
      <c r="K54" s="59">
        <v>12126106</v>
      </c>
      <c r="L54" s="52"/>
      <c r="M54" s="59">
        <v>12234735</v>
      </c>
      <c r="N54" s="70"/>
      <c r="O54" s="70"/>
    </row>
    <row r="55" spans="2:15" hidden="1" x14ac:dyDescent="0.2">
      <c r="B55" s="70"/>
      <c r="C55" s="62" t="s">
        <v>33</v>
      </c>
      <c r="D55" s="63"/>
      <c r="E55" s="64">
        <v>0.19</v>
      </c>
      <c r="F55" s="65"/>
      <c r="G55" s="66">
        <v>9115840</v>
      </c>
      <c r="H55" s="52"/>
      <c r="I55" s="67">
        <v>4487280</v>
      </c>
      <c r="J55" s="52"/>
      <c r="K55" s="67">
        <v>2303960</v>
      </c>
      <c r="L55" s="52"/>
      <c r="M55" s="67">
        <v>2324600</v>
      </c>
      <c r="N55" s="70"/>
      <c r="O55" s="70"/>
    </row>
    <row r="56" spans="2:15" x14ac:dyDescent="0.2">
      <c r="B56" s="70"/>
      <c r="C56" s="70"/>
      <c r="D56" s="70"/>
      <c r="E56" s="70"/>
      <c r="F56" s="70"/>
      <c r="G56" s="70"/>
      <c r="H56" s="70"/>
      <c r="I56" s="70"/>
      <c r="J56" s="70"/>
      <c r="K56" s="70"/>
      <c r="L56" s="70"/>
      <c r="M56" s="70"/>
      <c r="N56" s="70"/>
      <c r="O56" s="70"/>
    </row>
    <row r="57" spans="2:15" x14ac:dyDescent="0.2">
      <c r="B57" s="70"/>
      <c r="C57" s="70"/>
      <c r="D57" s="70"/>
      <c r="E57" s="70"/>
      <c r="F57" s="71"/>
      <c r="G57" s="72">
        <f>SUM(G40:O47)</f>
        <v>14629345</v>
      </c>
      <c r="H57" s="73"/>
      <c r="I57" s="74">
        <v>596194157.02999997</v>
      </c>
      <c r="J57" s="73"/>
      <c r="K57" s="75">
        <v>306111424.5</v>
      </c>
      <c r="L57" s="73"/>
      <c r="M57" s="76">
        <v>308853655.37912738</v>
      </c>
      <c r="N57" s="70"/>
      <c r="O57" s="70"/>
    </row>
    <row r="58" spans="2:15" x14ac:dyDescent="0.2">
      <c r="B58" s="70"/>
      <c r="C58" s="70"/>
      <c r="D58" s="70"/>
      <c r="E58" s="70"/>
      <c r="F58" s="70"/>
      <c r="G58" s="70"/>
      <c r="H58" s="77" t="s">
        <v>160</v>
      </c>
      <c r="I58" s="116">
        <v>1548</v>
      </c>
      <c r="J58" s="70"/>
      <c r="K58" s="116">
        <v>2017</v>
      </c>
      <c r="L58" s="70"/>
      <c r="M58" s="116">
        <v>1</v>
      </c>
      <c r="N58" s="70"/>
      <c r="O58" s="70"/>
    </row>
    <row r="59" spans="2:15" x14ac:dyDescent="0.2">
      <c r="B59" s="70"/>
      <c r="C59" s="70"/>
      <c r="D59" s="70"/>
      <c r="E59" s="70"/>
      <c r="F59" s="70"/>
      <c r="G59" s="70"/>
      <c r="H59" s="77" t="s">
        <v>161</v>
      </c>
      <c r="I59" s="78">
        <v>385138.344334625</v>
      </c>
      <c r="J59" s="70"/>
      <c r="K59" s="78">
        <v>151765.70376797224</v>
      </c>
      <c r="L59" s="70"/>
      <c r="M59" s="78">
        <v>308853655.37912738</v>
      </c>
      <c r="N59" s="70"/>
      <c r="O59" s="70"/>
    </row>
  </sheetData>
  <protectedRanges>
    <protectedRange sqref="E52:E54" name="Rango3_2_1_3"/>
  </protectedRanges>
  <mergeCells count="1">
    <mergeCell ref="B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2:O54"/>
  <sheetViews>
    <sheetView topLeftCell="B37" zoomScale="90" zoomScaleNormal="90" workbookViewId="0">
      <selection activeCell="G45" sqref="G45"/>
    </sheetView>
  </sheetViews>
  <sheetFormatPr baseColWidth="10" defaultColWidth="11.5" defaultRowHeight="15" x14ac:dyDescent="0.2"/>
  <cols>
    <col min="1" max="1" width="5" customWidth="1"/>
    <col min="3" max="3" width="34.33203125" customWidth="1"/>
    <col min="6" max="6" width="16.33203125" customWidth="1"/>
    <col min="7" max="7" width="19.1640625" customWidth="1"/>
    <col min="8" max="8" width="15.1640625" customWidth="1"/>
    <col min="9" max="9" width="21" customWidth="1"/>
    <col min="10" max="10" width="15.6640625" customWidth="1"/>
    <col min="11" max="11" width="18.1640625" customWidth="1"/>
    <col min="12" max="12" width="15.5" customWidth="1"/>
    <col min="13" max="13" width="18" customWidth="1"/>
    <col min="14" max="14" width="16.6640625" customWidth="1"/>
    <col min="15" max="15" width="15.83203125" customWidth="1"/>
  </cols>
  <sheetData>
    <row r="2" spans="2:15" x14ac:dyDescent="0.2">
      <c r="B2" s="248" t="s">
        <v>0</v>
      </c>
      <c r="C2" s="249"/>
      <c r="D2" s="249"/>
      <c r="E2" s="249"/>
      <c r="F2" s="249"/>
      <c r="G2" s="249"/>
      <c r="H2" s="249"/>
      <c r="I2" s="249"/>
      <c r="J2" s="249"/>
      <c r="K2" s="249"/>
      <c r="L2" s="249"/>
      <c r="M2" s="249"/>
      <c r="N2" s="249"/>
      <c r="O2" s="250"/>
    </row>
    <row r="3" spans="2:15" ht="28" x14ac:dyDescent="0.2">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5" ht="45" x14ac:dyDescent="0.2">
      <c r="B4" s="5">
        <v>1</v>
      </c>
      <c r="C4" s="6" t="s">
        <v>113</v>
      </c>
      <c r="D4" s="7" t="s">
        <v>10</v>
      </c>
      <c r="E4" s="8">
        <v>525</v>
      </c>
      <c r="F4" s="9">
        <v>84115</v>
      </c>
      <c r="G4" s="9">
        <v>44160375</v>
      </c>
      <c r="H4" s="10">
        <v>525</v>
      </c>
      <c r="I4" s="11">
        <v>44160375</v>
      </c>
      <c r="J4" s="12"/>
      <c r="K4" s="13">
        <v>0</v>
      </c>
      <c r="L4" s="14"/>
      <c r="M4" s="15">
        <v>0</v>
      </c>
      <c r="N4" s="68" t="s">
        <v>68</v>
      </c>
      <c r="O4" s="69"/>
    </row>
    <row r="5" spans="2:15" ht="29" x14ac:dyDescent="0.2">
      <c r="B5" s="5">
        <v>2</v>
      </c>
      <c r="C5" s="6" t="s">
        <v>162</v>
      </c>
      <c r="D5" s="7" t="s">
        <v>10</v>
      </c>
      <c r="E5" s="8">
        <v>960</v>
      </c>
      <c r="F5" s="9">
        <v>95140</v>
      </c>
      <c r="G5" s="9">
        <v>91334400</v>
      </c>
      <c r="H5" s="10">
        <v>960</v>
      </c>
      <c r="I5" s="16">
        <v>91334400</v>
      </c>
      <c r="J5" s="12"/>
      <c r="K5" s="13">
        <v>0</v>
      </c>
      <c r="L5" s="14"/>
      <c r="M5" s="15">
        <v>0</v>
      </c>
      <c r="N5" s="68"/>
      <c r="O5" s="69"/>
    </row>
    <row r="6" spans="2:15" ht="29" x14ac:dyDescent="0.2">
      <c r="B6" s="17">
        <v>3</v>
      </c>
      <c r="C6" s="6" t="s">
        <v>116</v>
      </c>
      <c r="D6" s="7" t="s">
        <v>10</v>
      </c>
      <c r="E6" s="8">
        <v>1722</v>
      </c>
      <c r="F6" s="9">
        <v>96200</v>
      </c>
      <c r="G6" s="9">
        <v>165656400</v>
      </c>
      <c r="H6" s="10"/>
      <c r="I6" s="16">
        <v>0</v>
      </c>
      <c r="J6" s="12">
        <v>1722</v>
      </c>
      <c r="K6" s="13">
        <v>165656400</v>
      </c>
      <c r="L6" s="14"/>
      <c r="M6" s="15">
        <v>0</v>
      </c>
      <c r="N6" s="68"/>
      <c r="O6" s="69"/>
    </row>
    <row r="7" spans="2:15" x14ac:dyDescent="0.2">
      <c r="B7" s="5">
        <v>4</v>
      </c>
      <c r="C7" s="6" t="s">
        <v>117</v>
      </c>
      <c r="D7" s="7" t="s">
        <v>17</v>
      </c>
      <c r="E7" s="8">
        <v>2</v>
      </c>
      <c r="F7" s="18">
        <v>5471416.75</v>
      </c>
      <c r="G7" s="9">
        <v>10942833.5</v>
      </c>
      <c r="H7" s="10">
        <v>2</v>
      </c>
      <c r="I7" s="19">
        <v>10942833.5</v>
      </c>
      <c r="J7" s="12"/>
      <c r="K7" s="20">
        <v>0</v>
      </c>
      <c r="L7" s="14"/>
      <c r="M7" s="21">
        <v>0</v>
      </c>
      <c r="N7" s="68"/>
      <c r="O7" s="69"/>
    </row>
    <row r="8" spans="2:15" x14ac:dyDescent="0.2">
      <c r="B8" s="17">
        <v>5</v>
      </c>
      <c r="C8" s="6" t="s">
        <v>16</v>
      </c>
      <c r="D8" s="7" t="s">
        <v>17</v>
      </c>
      <c r="E8" s="8">
        <v>1</v>
      </c>
      <c r="F8" s="18">
        <v>5471416.75</v>
      </c>
      <c r="G8" s="9">
        <v>5471416.75</v>
      </c>
      <c r="H8" s="10"/>
      <c r="I8" s="19">
        <v>0</v>
      </c>
      <c r="J8" s="12">
        <v>1</v>
      </c>
      <c r="K8" s="20">
        <v>5471416.75</v>
      </c>
      <c r="L8" s="14"/>
      <c r="M8" s="21">
        <v>0</v>
      </c>
      <c r="N8" s="68"/>
      <c r="O8" s="69"/>
    </row>
    <row r="9" spans="2:15" ht="29" x14ac:dyDescent="0.2">
      <c r="B9" s="22">
        <v>6</v>
      </c>
      <c r="C9" s="23" t="s">
        <v>118</v>
      </c>
      <c r="D9" s="24" t="s">
        <v>17</v>
      </c>
      <c r="E9" s="25">
        <v>0</v>
      </c>
      <c r="F9" s="26">
        <v>2430250</v>
      </c>
      <c r="G9" s="26">
        <v>0</v>
      </c>
      <c r="H9" s="10"/>
      <c r="I9" s="16">
        <v>0</v>
      </c>
      <c r="J9" s="12"/>
      <c r="K9" s="13">
        <v>0</v>
      </c>
      <c r="L9" s="14"/>
      <c r="M9" s="15">
        <v>0</v>
      </c>
      <c r="N9" s="68"/>
      <c r="O9" s="69"/>
    </row>
    <row r="10" spans="2:15" ht="29" x14ac:dyDescent="0.2">
      <c r="B10" s="22">
        <v>7</v>
      </c>
      <c r="C10" s="23" t="s">
        <v>119</v>
      </c>
      <c r="D10" s="24" t="s">
        <v>10</v>
      </c>
      <c r="E10" s="25">
        <v>0</v>
      </c>
      <c r="F10" s="26">
        <v>356908</v>
      </c>
      <c r="G10" s="26">
        <v>0</v>
      </c>
      <c r="H10" s="10"/>
      <c r="I10" s="16">
        <v>0</v>
      </c>
      <c r="J10" s="12"/>
      <c r="K10" s="13">
        <v>0</v>
      </c>
      <c r="L10" s="14"/>
      <c r="M10" s="15">
        <v>0</v>
      </c>
      <c r="N10" s="68"/>
      <c r="O10" s="69"/>
    </row>
    <row r="11" spans="2:15" ht="29" x14ac:dyDescent="0.2">
      <c r="B11" s="22">
        <v>8</v>
      </c>
      <c r="C11" s="23" t="s">
        <v>120</v>
      </c>
      <c r="D11" s="24" t="s">
        <v>17</v>
      </c>
      <c r="E11" s="25">
        <v>0</v>
      </c>
      <c r="F11" s="26">
        <v>47000</v>
      </c>
      <c r="G11" s="26">
        <v>0</v>
      </c>
      <c r="H11" s="10"/>
      <c r="I11" s="16">
        <v>0</v>
      </c>
      <c r="J11" s="12"/>
      <c r="K11" s="13">
        <v>0</v>
      </c>
      <c r="L11" s="14"/>
      <c r="M11" s="15">
        <v>0</v>
      </c>
      <c r="N11" s="68"/>
      <c r="O11" s="69"/>
    </row>
    <row r="12" spans="2:15" ht="29" x14ac:dyDescent="0.2">
      <c r="B12" s="22">
        <v>9</v>
      </c>
      <c r="C12" s="23" t="s">
        <v>121</v>
      </c>
      <c r="D12" s="24" t="s">
        <v>24</v>
      </c>
      <c r="E12" s="25">
        <v>0</v>
      </c>
      <c r="F12" s="26">
        <v>111676</v>
      </c>
      <c r="G12" s="26">
        <v>0</v>
      </c>
      <c r="H12" s="10"/>
      <c r="I12" s="16">
        <v>0</v>
      </c>
      <c r="J12" s="12"/>
      <c r="K12" s="13">
        <v>0</v>
      </c>
      <c r="L12" s="14"/>
      <c r="M12" s="15">
        <v>0</v>
      </c>
      <c r="N12" s="68"/>
      <c r="O12" s="69"/>
    </row>
    <row r="13" spans="2:15" ht="29" x14ac:dyDescent="0.2">
      <c r="B13" s="22">
        <v>10</v>
      </c>
      <c r="C13" s="23" t="s">
        <v>122</v>
      </c>
      <c r="D13" s="24" t="s">
        <v>10</v>
      </c>
      <c r="E13" s="25">
        <v>0</v>
      </c>
      <c r="F13" s="26">
        <v>420012</v>
      </c>
      <c r="G13" s="26">
        <v>0</v>
      </c>
      <c r="H13" s="10"/>
      <c r="I13" s="16">
        <v>0</v>
      </c>
      <c r="J13" s="12"/>
      <c r="K13" s="13">
        <v>0</v>
      </c>
      <c r="L13" s="14"/>
      <c r="M13" s="15">
        <v>0</v>
      </c>
      <c r="N13" s="68"/>
      <c r="O13" s="69"/>
    </row>
    <row r="14" spans="2:15" x14ac:dyDescent="0.2">
      <c r="B14" s="5">
        <v>11</v>
      </c>
      <c r="C14" s="6" t="s">
        <v>123</v>
      </c>
      <c r="D14" s="7" t="s">
        <v>24</v>
      </c>
      <c r="E14" s="27">
        <v>211</v>
      </c>
      <c r="F14" s="9">
        <v>120000</v>
      </c>
      <c r="G14" s="9">
        <v>25320000</v>
      </c>
      <c r="H14" s="10">
        <v>211</v>
      </c>
      <c r="I14" s="16">
        <v>25320000</v>
      </c>
      <c r="J14" s="12"/>
      <c r="K14" s="13">
        <v>0</v>
      </c>
      <c r="L14" s="14"/>
      <c r="M14" s="15">
        <v>0</v>
      </c>
      <c r="N14" s="68"/>
      <c r="O14" s="69"/>
    </row>
    <row r="15" spans="2:15" ht="45" x14ac:dyDescent="0.2">
      <c r="B15" s="5">
        <v>12</v>
      </c>
      <c r="C15" s="6" t="s">
        <v>125</v>
      </c>
      <c r="D15" s="7" t="s">
        <v>10</v>
      </c>
      <c r="E15" s="8">
        <v>525</v>
      </c>
      <c r="F15" s="9">
        <v>11230</v>
      </c>
      <c r="G15" s="9">
        <v>5895750</v>
      </c>
      <c r="H15" s="10">
        <v>525</v>
      </c>
      <c r="I15" s="16">
        <v>5895750</v>
      </c>
      <c r="J15" s="12"/>
      <c r="K15" s="13">
        <v>0</v>
      </c>
      <c r="L15" s="14"/>
      <c r="M15" s="15">
        <v>0</v>
      </c>
      <c r="N15" s="68" t="s">
        <v>68</v>
      </c>
      <c r="O15" s="69"/>
    </row>
    <row r="16" spans="2:15" ht="29" x14ac:dyDescent="0.2">
      <c r="B16" s="5">
        <v>13</v>
      </c>
      <c r="C16" s="6" t="s">
        <v>127</v>
      </c>
      <c r="D16" s="7" t="s">
        <v>13</v>
      </c>
      <c r="E16" s="8">
        <v>1398.75</v>
      </c>
      <c r="F16" s="9">
        <v>50227</v>
      </c>
      <c r="G16" s="9">
        <v>70255016.25</v>
      </c>
      <c r="H16" s="10">
        <v>1398.75</v>
      </c>
      <c r="I16" s="16">
        <v>70255016.25</v>
      </c>
      <c r="J16" s="12"/>
      <c r="K16" s="13">
        <v>0</v>
      </c>
      <c r="L16" s="14"/>
      <c r="M16" s="15">
        <v>0</v>
      </c>
      <c r="N16" s="68"/>
      <c r="O16" s="69"/>
    </row>
    <row r="17" spans="2:15" ht="29" x14ac:dyDescent="0.2">
      <c r="B17" s="5">
        <v>14</v>
      </c>
      <c r="C17" s="6" t="s">
        <v>129</v>
      </c>
      <c r="D17" s="7" t="s">
        <v>13</v>
      </c>
      <c r="E17" s="8">
        <v>979.13</v>
      </c>
      <c r="F17" s="9">
        <v>84981</v>
      </c>
      <c r="G17" s="9">
        <v>83207446.530000001</v>
      </c>
      <c r="H17" s="10">
        <v>979.13</v>
      </c>
      <c r="I17" s="16">
        <v>83207446.530000001</v>
      </c>
      <c r="J17" s="12"/>
      <c r="K17" s="13">
        <v>0</v>
      </c>
      <c r="L17" s="14"/>
      <c r="M17" s="15">
        <v>0</v>
      </c>
      <c r="N17" s="68"/>
      <c r="O17" s="69"/>
    </row>
    <row r="18" spans="2:15" ht="29" x14ac:dyDescent="0.2">
      <c r="B18" s="5">
        <v>15</v>
      </c>
      <c r="C18" s="6" t="s">
        <v>130</v>
      </c>
      <c r="D18" s="7" t="s">
        <v>10</v>
      </c>
      <c r="E18" s="8">
        <v>3047.5</v>
      </c>
      <c r="F18" s="9">
        <v>7695</v>
      </c>
      <c r="G18" s="9">
        <v>23450512.5</v>
      </c>
      <c r="H18" s="10">
        <v>1401.85</v>
      </c>
      <c r="I18" s="16">
        <v>10787235.75</v>
      </c>
      <c r="J18" s="12">
        <v>1645.65</v>
      </c>
      <c r="K18" s="13">
        <v>12663276.75</v>
      </c>
      <c r="L18" s="14"/>
      <c r="M18" s="15">
        <v>0</v>
      </c>
      <c r="N18" s="68"/>
      <c r="O18" s="69" t="s">
        <v>57</v>
      </c>
    </row>
    <row r="19" spans="2:15" x14ac:dyDescent="0.2">
      <c r="B19" s="5">
        <v>16</v>
      </c>
      <c r="C19" s="6" t="s">
        <v>131</v>
      </c>
      <c r="D19" s="7" t="s">
        <v>24</v>
      </c>
      <c r="E19" s="8">
        <v>334</v>
      </c>
      <c r="F19" s="9">
        <v>46331</v>
      </c>
      <c r="G19" s="9">
        <v>15474554</v>
      </c>
      <c r="H19" s="10">
        <v>334</v>
      </c>
      <c r="I19" s="16">
        <v>15474554</v>
      </c>
      <c r="J19" s="12"/>
      <c r="K19" s="13">
        <v>0</v>
      </c>
      <c r="L19" s="14"/>
      <c r="M19" s="15">
        <v>0</v>
      </c>
      <c r="N19" s="68"/>
      <c r="O19" s="69"/>
    </row>
    <row r="20" spans="2:15" x14ac:dyDescent="0.2">
      <c r="B20" s="17">
        <v>17</v>
      </c>
      <c r="C20" s="6" t="s">
        <v>133</v>
      </c>
      <c r="D20" s="7" t="s">
        <v>24</v>
      </c>
      <c r="E20" s="8">
        <v>1147</v>
      </c>
      <c r="F20" s="9">
        <v>37240</v>
      </c>
      <c r="G20" s="9">
        <v>42714280</v>
      </c>
      <c r="H20" s="10"/>
      <c r="I20" s="16">
        <v>0</v>
      </c>
      <c r="J20" s="12">
        <v>1147</v>
      </c>
      <c r="K20" s="13">
        <v>42714280</v>
      </c>
      <c r="L20" s="14"/>
      <c r="M20" s="15">
        <v>0</v>
      </c>
      <c r="N20" s="68"/>
      <c r="O20" s="69"/>
    </row>
    <row r="21" spans="2:15" x14ac:dyDescent="0.2">
      <c r="B21" s="17">
        <v>18</v>
      </c>
      <c r="C21" s="6" t="s">
        <v>134</v>
      </c>
      <c r="D21" s="7" t="s">
        <v>10</v>
      </c>
      <c r="E21" s="8">
        <v>126</v>
      </c>
      <c r="F21" s="9">
        <v>136676</v>
      </c>
      <c r="G21" s="9">
        <v>17221176</v>
      </c>
      <c r="H21" s="10">
        <v>126</v>
      </c>
      <c r="I21" s="16">
        <v>17221176</v>
      </c>
      <c r="J21" s="12"/>
      <c r="K21" s="13">
        <v>0</v>
      </c>
      <c r="L21" s="14"/>
      <c r="M21" s="15">
        <v>0</v>
      </c>
      <c r="N21" s="68"/>
      <c r="O21" s="69"/>
    </row>
    <row r="22" spans="2:15" ht="29" x14ac:dyDescent="0.2">
      <c r="B22" s="5">
        <v>19</v>
      </c>
      <c r="C22" s="6" t="s">
        <v>135</v>
      </c>
      <c r="D22" s="7" t="s">
        <v>10</v>
      </c>
      <c r="E22" s="8">
        <v>32</v>
      </c>
      <c r="F22" s="9">
        <v>149868</v>
      </c>
      <c r="G22" s="9">
        <v>4795776</v>
      </c>
      <c r="H22" s="10">
        <v>32</v>
      </c>
      <c r="I22" s="16">
        <v>4795776</v>
      </c>
      <c r="J22" s="12"/>
      <c r="K22" s="13">
        <v>0</v>
      </c>
      <c r="L22" s="14"/>
      <c r="M22" s="15">
        <v>0</v>
      </c>
      <c r="N22" s="68"/>
      <c r="O22" s="69"/>
    </row>
    <row r="23" spans="2:15" ht="29" x14ac:dyDescent="0.2">
      <c r="B23" s="22">
        <v>20</v>
      </c>
      <c r="C23" s="23" t="s">
        <v>136</v>
      </c>
      <c r="D23" s="24" t="s">
        <v>137</v>
      </c>
      <c r="E23" s="25">
        <v>0</v>
      </c>
      <c r="F23" s="26">
        <v>2380000</v>
      </c>
      <c r="G23" s="26">
        <v>0</v>
      </c>
      <c r="H23" s="28"/>
      <c r="I23" s="16">
        <v>0</v>
      </c>
      <c r="J23" s="29"/>
      <c r="K23" s="13">
        <v>0</v>
      </c>
      <c r="L23" s="30"/>
      <c r="M23" s="15">
        <v>0</v>
      </c>
      <c r="N23" s="68"/>
      <c r="O23" s="69"/>
    </row>
    <row r="24" spans="2:15" ht="29" x14ac:dyDescent="0.2">
      <c r="B24" s="22">
        <v>21</v>
      </c>
      <c r="C24" s="23" t="s">
        <v>138</v>
      </c>
      <c r="D24" s="24" t="s">
        <v>137</v>
      </c>
      <c r="E24" s="25">
        <v>0</v>
      </c>
      <c r="F24" s="26">
        <v>4165000</v>
      </c>
      <c r="G24" s="26">
        <v>0</v>
      </c>
      <c r="H24" s="28"/>
      <c r="I24" s="16">
        <v>0</v>
      </c>
      <c r="J24" s="29"/>
      <c r="K24" s="13">
        <v>0</v>
      </c>
      <c r="L24" s="30"/>
      <c r="M24" s="15">
        <v>0</v>
      </c>
      <c r="N24" s="68"/>
      <c r="O24" s="69"/>
    </row>
    <row r="25" spans="2:15" ht="75" x14ac:dyDescent="0.2">
      <c r="B25" s="5">
        <v>22</v>
      </c>
      <c r="C25" s="6" t="s">
        <v>139</v>
      </c>
      <c r="D25" s="7" t="s">
        <v>17</v>
      </c>
      <c r="E25" s="8">
        <v>24</v>
      </c>
      <c r="F25" s="18">
        <v>1236700</v>
      </c>
      <c r="G25" s="9">
        <v>29680800</v>
      </c>
      <c r="H25" s="28">
        <v>16.799999999999997</v>
      </c>
      <c r="I25" s="19">
        <v>20776559.999999996</v>
      </c>
      <c r="J25" s="29">
        <v>7.1999999999999993</v>
      </c>
      <c r="K25" s="20">
        <v>8904240</v>
      </c>
      <c r="L25" s="30"/>
      <c r="M25" s="21">
        <v>0</v>
      </c>
      <c r="N25" s="68" t="s">
        <v>90</v>
      </c>
      <c r="O25" s="69"/>
    </row>
    <row r="26" spans="2:15" ht="29" x14ac:dyDescent="0.2">
      <c r="B26" s="5">
        <v>23</v>
      </c>
      <c r="C26" s="6" t="s">
        <v>140</v>
      </c>
      <c r="D26" s="7" t="s">
        <v>24</v>
      </c>
      <c r="E26" s="8">
        <v>50</v>
      </c>
      <c r="F26" s="9">
        <v>48580</v>
      </c>
      <c r="G26" s="9">
        <v>2429000</v>
      </c>
      <c r="H26" s="10">
        <v>50</v>
      </c>
      <c r="I26" s="16">
        <v>2429000</v>
      </c>
      <c r="J26" s="12"/>
      <c r="K26" s="13">
        <v>0</v>
      </c>
      <c r="L26" s="14"/>
      <c r="M26" s="15">
        <v>0</v>
      </c>
      <c r="N26" s="68"/>
      <c r="O26" s="69"/>
    </row>
    <row r="27" spans="2:15" ht="29" x14ac:dyDescent="0.2">
      <c r="B27" s="5">
        <v>24</v>
      </c>
      <c r="C27" s="6" t="s">
        <v>141</v>
      </c>
      <c r="D27" s="7" t="s">
        <v>24</v>
      </c>
      <c r="E27" s="8">
        <v>23</v>
      </c>
      <c r="F27" s="9">
        <v>93406</v>
      </c>
      <c r="G27" s="9">
        <v>2148338</v>
      </c>
      <c r="H27" s="10">
        <v>23</v>
      </c>
      <c r="I27" s="16">
        <v>2148338</v>
      </c>
      <c r="J27" s="12"/>
      <c r="K27" s="13">
        <v>0</v>
      </c>
      <c r="L27" s="14"/>
      <c r="M27" s="15">
        <v>0</v>
      </c>
      <c r="N27" s="68"/>
      <c r="O27" s="69"/>
    </row>
    <row r="28" spans="2:15" x14ac:dyDescent="0.2">
      <c r="B28" s="17">
        <v>25</v>
      </c>
      <c r="C28" s="6" t="s">
        <v>19</v>
      </c>
      <c r="D28" s="7" t="s">
        <v>3</v>
      </c>
      <c r="E28" s="8">
        <v>10</v>
      </c>
      <c r="F28" s="9">
        <v>576571</v>
      </c>
      <c r="G28" s="9">
        <v>5765710</v>
      </c>
      <c r="H28" s="10"/>
      <c r="I28" s="16">
        <v>0</v>
      </c>
      <c r="J28" s="12">
        <v>10</v>
      </c>
      <c r="K28" s="13">
        <v>5765710</v>
      </c>
      <c r="L28" s="14"/>
      <c r="M28" s="15">
        <v>0</v>
      </c>
      <c r="N28" s="68"/>
      <c r="O28" s="69"/>
    </row>
    <row r="29" spans="2:15" x14ac:dyDescent="0.2">
      <c r="B29" s="22">
        <v>26</v>
      </c>
      <c r="C29" s="23" t="s">
        <v>142</v>
      </c>
      <c r="D29" s="24" t="s">
        <v>137</v>
      </c>
      <c r="E29" s="25">
        <v>0</v>
      </c>
      <c r="F29" s="26">
        <v>3500000</v>
      </c>
      <c r="G29" s="26">
        <v>0</v>
      </c>
      <c r="H29" s="10">
        <v>0</v>
      </c>
      <c r="I29" s="16">
        <v>0</v>
      </c>
      <c r="J29" s="12"/>
      <c r="K29" s="13">
        <v>0</v>
      </c>
      <c r="L29" s="14"/>
      <c r="M29" s="15">
        <v>0</v>
      </c>
      <c r="N29" s="68"/>
      <c r="O29" s="69"/>
    </row>
    <row r="30" spans="2:15" x14ac:dyDescent="0.2">
      <c r="B30" s="17">
        <v>27</v>
      </c>
      <c r="C30" s="6" t="s">
        <v>20</v>
      </c>
      <c r="D30" s="7" t="s">
        <v>17</v>
      </c>
      <c r="E30" s="8">
        <v>2</v>
      </c>
      <c r="F30" s="9">
        <v>800000</v>
      </c>
      <c r="G30" s="9">
        <v>1600000</v>
      </c>
      <c r="H30" s="10">
        <v>1</v>
      </c>
      <c r="I30" s="16">
        <v>800000</v>
      </c>
      <c r="J30" s="12">
        <v>1</v>
      </c>
      <c r="K30" s="13">
        <v>800000</v>
      </c>
      <c r="L30" s="14"/>
      <c r="M30" s="15">
        <v>0</v>
      </c>
      <c r="N30" s="68"/>
      <c r="O30" s="69"/>
    </row>
    <row r="31" spans="2:15" x14ac:dyDescent="0.2">
      <c r="B31" s="17">
        <v>28</v>
      </c>
      <c r="C31" s="6" t="s">
        <v>143</v>
      </c>
      <c r="D31" s="7" t="s">
        <v>13</v>
      </c>
      <c r="E31" s="8">
        <v>20</v>
      </c>
      <c r="F31" s="9">
        <v>90000</v>
      </c>
      <c r="G31" s="9">
        <v>1800000</v>
      </c>
      <c r="H31" s="10">
        <v>20</v>
      </c>
      <c r="I31" s="16">
        <v>1800000</v>
      </c>
      <c r="J31" s="12"/>
      <c r="K31" s="13">
        <v>0</v>
      </c>
      <c r="L31" s="14"/>
      <c r="M31" s="15">
        <v>0</v>
      </c>
      <c r="N31" s="68"/>
      <c r="O31" s="69"/>
    </row>
    <row r="32" spans="2:15" x14ac:dyDescent="0.2">
      <c r="B32" s="17">
        <v>29</v>
      </c>
      <c r="C32" s="6" t="s">
        <v>21</v>
      </c>
      <c r="D32" s="7" t="s">
        <v>17</v>
      </c>
      <c r="E32" s="8">
        <v>10</v>
      </c>
      <c r="F32" s="18">
        <v>54680</v>
      </c>
      <c r="G32" s="9">
        <v>546800</v>
      </c>
      <c r="H32" s="10"/>
      <c r="I32" s="19">
        <v>0</v>
      </c>
      <c r="J32" s="12">
        <v>10</v>
      </c>
      <c r="K32" s="20">
        <v>546800</v>
      </c>
      <c r="L32" s="14"/>
      <c r="M32" s="21">
        <v>0</v>
      </c>
      <c r="N32" s="68"/>
      <c r="O32" s="69"/>
    </row>
    <row r="33" spans="2:15" x14ac:dyDescent="0.2">
      <c r="B33" s="5">
        <v>30</v>
      </c>
      <c r="C33" s="6" t="s">
        <v>144</v>
      </c>
      <c r="D33" s="7" t="s">
        <v>24</v>
      </c>
      <c r="E33" s="8">
        <v>40</v>
      </c>
      <c r="F33" s="9">
        <v>310000</v>
      </c>
      <c r="G33" s="9">
        <v>12400000</v>
      </c>
      <c r="H33" s="10">
        <v>40</v>
      </c>
      <c r="I33" s="16">
        <v>12400000</v>
      </c>
      <c r="J33" s="12"/>
      <c r="K33" s="13">
        <v>0</v>
      </c>
      <c r="L33" s="14"/>
      <c r="M33" s="15">
        <v>0</v>
      </c>
      <c r="N33" s="68"/>
      <c r="O33" s="69"/>
    </row>
    <row r="34" spans="2:15" x14ac:dyDescent="0.2">
      <c r="B34" s="5">
        <v>31</v>
      </c>
      <c r="C34" s="6" t="s">
        <v>145</v>
      </c>
      <c r="D34" s="7" t="s">
        <v>17</v>
      </c>
      <c r="E34" s="8">
        <v>82</v>
      </c>
      <c r="F34" s="9">
        <v>46000</v>
      </c>
      <c r="G34" s="9">
        <v>3772000</v>
      </c>
      <c r="H34" s="10">
        <v>82</v>
      </c>
      <c r="I34" s="16">
        <v>3772000</v>
      </c>
      <c r="J34" s="12"/>
      <c r="K34" s="13">
        <v>0</v>
      </c>
      <c r="L34" s="14"/>
      <c r="M34" s="15">
        <v>0</v>
      </c>
      <c r="N34" s="68"/>
      <c r="O34" s="69"/>
    </row>
    <row r="35" spans="2:15" ht="120" x14ac:dyDescent="0.2">
      <c r="B35" s="31">
        <v>32</v>
      </c>
      <c r="C35" s="32" t="s">
        <v>146</v>
      </c>
      <c r="D35" s="33" t="s">
        <v>10</v>
      </c>
      <c r="E35" s="34">
        <v>12021.653</v>
      </c>
      <c r="F35" s="35">
        <v>12644.32</v>
      </c>
      <c r="G35" s="35">
        <v>152005627.46096</v>
      </c>
      <c r="H35" s="10"/>
      <c r="I35" s="36">
        <v>0</v>
      </c>
      <c r="J35" s="12"/>
      <c r="K35" s="37">
        <v>0</v>
      </c>
      <c r="L35" s="14">
        <v>12021.653</v>
      </c>
      <c r="M35" s="38">
        <v>152005627.46096</v>
      </c>
      <c r="N35" s="68" t="s">
        <v>147</v>
      </c>
      <c r="O35" s="69"/>
    </row>
    <row r="36" spans="2:15" ht="120" x14ac:dyDescent="0.2">
      <c r="B36" s="31">
        <v>33</v>
      </c>
      <c r="C36" s="32" t="s">
        <v>148</v>
      </c>
      <c r="D36" s="33" t="s">
        <v>10</v>
      </c>
      <c r="E36" s="34">
        <v>5152.1369999999997</v>
      </c>
      <c r="F36" s="35">
        <v>16683.396213681317</v>
      </c>
      <c r="G36" s="35">
        <v>85955142.918167412</v>
      </c>
      <c r="H36" s="10"/>
      <c r="I36" s="36">
        <v>0</v>
      </c>
      <c r="J36" s="12"/>
      <c r="K36" s="37">
        <v>0</v>
      </c>
      <c r="L36" s="14">
        <v>5152.1369999999997</v>
      </c>
      <c r="M36" s="38">
        <v>85955142.918167412</v>
      </c>
      <c r="N36" s="68" t="s">
        <v>147</v>
      </c>
      <c r="O36" s="69"/>
    </row>
    <row r="37" spans="2:15" x14ac:dyDescent="0.2">
      <c r="B37" s="5">
        <v>34</v>
      </c>
      <c r="C37" s="32" t="s">
        <v>149</v>
      </c>
      <c r="D37" s="33" t="s">
        <v>24</v>
      </c>
      <c r="E37" s="39">
        <v>117.5</v>
      </c>
      <c r="F37" s="40">
        <v>415530</v>
      </c>
      <c r="G37" s="35">
        <v>48824775</v>
      </c>
      <c r="H37" s="10">
        <v>117.5</v>
      </c>
      <c r="I37" s="41">
        <v>48824775</v>
      </c>
      <c r="J37" s="12"/>
      <c r="K37" s="42">
        <v>0</v>
      </c>
      <c r="L37" s="14"/>
      <c r="M37" s="43">
        <v>0</v>
      </c>
      <c r="N37" s="68"/>
      <c r="O37" s="69">
        <v>121</v>
      </c>
    </row>
    <row r="38" spans="2:15" x14ac:dyDescent="0.2">
      <c r="B38" s="31">
        <v>35</v>
      </c>
      <c r="C38" s="175" t="s">
        <v>150</v>
      </c>
      <c r="D38" s="7" t="s">
        <v>137</v>
      </c>
      <c r="E38" s="8">
        <v>1</v>
      </c>
      <c r="F38" s="9">
        <v>1700750</v>
      </c>
      <c r="G38" s="9">
        <v>1700750</v>
      </c>
      <c r="H38" s="10"/>
      <c r="I38" s="16">
        <v>0</v>
      </c>
      <c r="J38" s="12"/>
      <c r="K38" s="13">
        <v>0</v>
      </c>
      <c r="L38" s="14">
        <v>1</v>
      </c>
      <c r="M38" s="15">
        <v>1700750</v>
      </c>
      <c r="N38" s="68"/>
      <c r="O38" s="69"/>
    </row>
    <row r="39" spans="2:15" x14ac:dyDescent="0.2">
      <c r="B39" s="22">
        <v>36</v>
      </c>
      <c r="C39" s="23" t="s">
        <v>151</v>
      </c>
      <c r="D39" s="24" t="s">
        <v>10</v>
      </c>
      <c r="E39" s="25">
        <v>0</v>
      </c>
      <c r="F39" s="26">
        <v>84115</v>
      </c>
      <c r="G39" s="26">
        <v>0</v>
      </c>
      <c r="H39" s="10"/>
      <c r="I39" s="16">
        <v>0</v>
      </c>
      <c r="J39" s="12"/>
      <c r="K39" s="13">
        <v>0</v>
      </c>
      <c r="L39" s="14"/>
      <c r="M39" s="15">
        <v>0</v>
      </c>
      <c r="N39" s="68"/>
      <c r="O39" s="69"/>
    </row>
    <row r="40" spans="2:15" ht="28" x14ac:dyDescent="0.2">
      <c r="B40" s="31">
        <v>37</v>
      </c>
      <c r="C40" s="179" t="s">
        <v>163</v>
      </c>
      <c r="D40" s="33" t="s">
        <v>17</v>
      </c>
      <c r="E40" s="33">
        <v>6</v>
      </c>
      <c r="F40" s="35">
        <v>249870</v>
      </c>
      <c r="G40" s="35">
        <v>1499220</v>
      </c>
      <c r="H40" s="10"/>
      <c r="I40" s="36">
        <v>0</v>
      </c>
      <c r="J40" s="12"/>
      <c r="K40" s="37">
        <v>0</v>
      </c>
      <c r="L40" s="14">
        <v>6</v>
      </c>
      <c r="M40" s="38">
        <v>1499220</v>
      </c>
      <c r="N40" s="68"/>
      <c r="O40" s="69"/>
    </row>
    <row r="41" spans="2:15" ht="28" x14ac:dyDescent="0.2">
      <c r="B41" s="31">
        <v>38</v>
      </c>
      <c r="C41" s="179" t="s">
        <v>164</v>
      </c>
      <c r="D41" s="33" t="s">
        <v>17</v>
      </c>
      <c r="E41" s="33">
        <v>6</v>
      </c>
      <c r="F41" s="35">
        <v>309804</v>
      </c>
      <c r="G41" s="35">
        <v>1858824</v>
      </c>
      <c r="H41" s="10"/>
      <c r="I41" s="36">
        <v>0</v>
      </c>
      <c r="J41" s="12"/>
      <c r="K41" s="37">
        <v>0</v>
      </c>
      <c r="L41" s="14">
        <v>6</v>
      </c>
      <c r="M41" s="38">
        <v>1858824</v>
      </c>
      <c r="N41" s="68"/>
      <c r="O41" s="69"/>
    </row>
    <row r="42" spans="2:15" ht="28" x14ac:dyDescent="0.2">
      <c r="B42" s="31">
        <v>39</v>
      </c>
      <c r="C42" s="179" t="s">
        <v>159</v>
      </c>
      <c r="D42" s="33" t="s">
        <v>24</v>
      </c>
      <c r="E42" s="39">
        <v>15</v>
      </c>
      <c r="F42" s="35">
        <v>111676</v>
      </c>
      <c r="G42" s="35">
        <v>1675140</v>
      </c>
      <c r="H42" s="10"/>
      <c r="I42" s="36">
        <v>0</v>
      </c>
      <c r="J42" s="12"/>
      <c r="K42" s="37">
        <v>0</v>
      </c>
      <c r="L42" s="14">
        <v>15</v>
      </c>
      <c r="M42" s="38">
        <v>1675140</v>
      </c>
      <c r="N42" s="68"/>
      <c r="O42" s="69"/>
    </row>
    <row r="43" spans="2:15" x14ac:dyDescent="0.2">
      <c r="B43" s="44"/>
      <c r="C43" s="45"/>
      <c r="D43" s="44"/>
      <c r="E43" s="44"/>
      <c r="F43" s="46"/>
      <c r="G43" s="46"/>
      <c r="H43" s="46"/>
      <c r="I43" s="46"/>
      <c r="J43" s="46"/>
      <c r="K43" s="46"/>
      <c r="L43" s="46"/>
      <c r="M43" s="46"/>
      <c r="N43" s="70"/>
      <c r="O43" s="70"/>
    </row>
    <row r="44" spans="2:15" x14ac:dyDescent="0.2">
      <c r="B44" s="44"/>
      <c r="C44" s="45"/>
      <c r="D44" s="44"/>
      <c r="E44" s="44"/>
      <c r="F44" s="46"/>
      <c r="G44" s="46">
        <f>+G40+G41</f>
        <v>3358044</v>
      </c>
      <c r="H44" s="46"/>
      <c r="I44" s="46"/>
      <c r="J44" s="46"/>
      <c r="K44" s="46"/>
      <c r="L44" s="46"/>
      <c r="M44" s="46"/>
      <c r="N44" s="70"/>
      <c r="O44" s="70"/>
    </row>
    <row r="45" spans="2:15" x14ac:dyDescent="0.2">
      <c r="B45" s="44"/>
      <c r="C45" s="47" t="s">
        <v>28</v>
      </c>
      <c r="D45" s="48"/>
      <c r="E45" s="49"/>
      <c r="F45" s="50"/>
      <c r="G45" s="51">
        <v>959562063.90912747</v>
      </c>
      <c r="H45" s="52"/>
      <c r="I45" s="53">
        <v>472345236.02999997</v>
      </c>
      <c r="J45" s="52"/>
      <c r="K45" s="53">
        <v>242522123.5</v>
      </c>
      <c r="L45" s="52"/>
      <c r="M45" s="53">
        <v>244694704.37912741</v>
      </c>
      <c r="N45" s="70"/>
      <c r="O45" s="70"/>
    </row>
    <row r="46" spans="2:15" x14ac:dyDescent="0.2">
      <c r="B46" s="70"/>
      <c r="C46" s="54" t="s">
        <v>29</v>
      </c>
      <c r="D46" s="55"/>
      <c r="E46" s="56"/>
      <c r="F46" s="57"/>
      <c r="G46" s="58">
        <v>251597173</v>
      </c>
      <c r="H46" s="52"/>
      <c r="I46" s="59">
        <v>123848921</v>
      </c>
      <c r="J46" s="52"/>
      <c r="K46" s="59">
        <v>63589301</v>
      </c>
      <c r="L46" s="52"/>
      <c r="M46" s="59">
        <v>64158951</v>
      </c>
      <c r="N46" s="70"/>
      <c r="O46" s="70"/>
    </row>
    <row r="47" spans="2:15" x14ac:dyDescent="0.2">
      <c r="B47" s="70"/>
      <c r="C47" s="60" t="s">
        <v>30</v>
      </c>
      <c r="D47" s="55"/>
      <c r="E47" s="61">
        <v>0.17269999999999999</v>
      </c>
      <c r="F47" s="57"/>
      <c r="G47" s="58">
        <v>165716368</v>
      </c>
      <c r="H47" s="52"/>
      <c r="I47" s="59">
        <v>81574022</v>
      </c>
      <c r="J47" s="52"/>
      <c r="K47" s="59">
        <v>41883571</v>
      </c>
      <c r="L47" s="52"/>
      <c r="M47" s="59">
        <v>42258775</v>
      </c>
      <c r="N47" s="70"/>
      <c r="O47" s="70"/>
    </row>
    <row r="48" spans="2:15" x14ac:dyDescent="0.2">
      <c r="B48" s="70"/>
      <c r="C48" s="60" t="s">
        <v>31</v>
      </c>
      <c r="D48" s="55"/>
      <c r="E48" s="61">
        <v>0.03</v>
      </c>
      <c r="F48" s="57"/>
      <c r="G48" s="58">
        <v>28786862</v>
      </c>
      <c r="H48" s="52"/>
      <c r="I48" s="59">
        <v>14170357</v>
      </c>
      <c r="J48" s="52"/>
      <c r="K48" s="59">
        <v>7275664</v>
      </c>
      <c r="L48" s="52"/>
      <c r="M48" s="59">
        <v>7340841</v>
      </c>
      <c r="N48" s="70"/>
      <c r="O48" s="70"/>
    </row>
    <row r="49" spans="2:15" x14ac:dyDescent="0.2">
      <c r="B49" s="70"/>
      <c r="C49" s="60" t="s">
        <v>32</v>
      </c>
      <c r="D49" s="55"/>
      <c r="E49" s="61">
        <v>0.05</v>
      </c>
      <c r="F49" s="57"/>
      <c r="G49" s="58">
        <v>47978103</v>
      </c>
      <c r="H49" s="52"/>
      <c r="I49" s="59">
        <v>23617262</v>
      </c>
      <c r="J49" s="52"/>
      <c r="K49" s="59">
        <v>12126106</v>
      </c>
      <c r="L49" s="52"/>
      <c r="M49" s="59">
        <v>12234735</v>
      </c>
      <c r="N49" s="70"/>
      <c r="O49" s="70"/>
    </row>
    <row r="50" spans="2:15" x14ac:dyDescent="0.2">
      <c r="B50" s="70"/>
      <c r="C50" s="62" t="s">
        <v>33</v>
      </c>
      <c r="D50" s="63"/>
      <c r="E50" s="64">
        <v>0.19</v>
      </c>
      <c r="F50" s="65"/>
      <c r="G50" s="66">
        <v>9115840</v>
      </c>
      <c r="H50" s="52"/>
      <c r="I50" s="67">
        <v>4487280</v>
      </c>
      <c r="J50" s="52"/>
      <c r="K50" s="67">
        <v>2303960</v>
      </c>
      <c r="L50" s="52"/>
      <c r="M50" s="67">
        <v>2324600</v>
      </c>
      <c r="N50" s="70"/>
      <c r="O50" s="70"/>
    </row>
    <row r="51" spans="2:15" x14ac:dyDescent="0.2">
      <c r="B51" s="70"/>
      <c r="C51" s="70"/>
      <c r="D51" s="70"/>
      <c r="E51" s="70"/>
      <c r="F51" s="70"/>
      <c r="G51" s="70"/>
      <c r="H51" s="70"/>
      <c r="I51" s="70"/>
      <c r="J51" s="70"/>
      <c r="K51" s="70"/>
      <c r="L51" s="70"/>
      <c r="M51" s="70"/>
      <c r="N51" s="70"/>
      <c r="O51" s="70"/>
    </row>
    <row r="52" spans="2:15" x14ac:dyDescent="0.2">
      <c r="B52" s="70"/>
      <c r="C52" s="70"/>
      <c r="D52" s="70"/>
      <c r="E52" s="70"/>
      <c r="F52" s="71"/>
      <c r="G52" s="72">
        <v>1211159236.9091275</v>
      </c>
      <c r="H52" s="73"/>
      <c r="I52" s="74">
        <v>596194157.02999997</v>
      </c>
      <c r="J52" s="73"/>
      <c r="K52" s="75">
        <v>306111424.5</v>
      </c>
      <c r="L52" s="73"/>
      <c r="M52" s="76">
        <v>308853655.37912738</v>
      </c>
      <c r="N52" s="70"/>
      <c r="O52" s="70"/>
    </row>
    <row r="53" spans="2:15" x14ac:dyDescent="0.2">
      <c r="B53" s="70"/>
      <c r="C53" s="70"/>
      <c r="D53" s="70"/>
      <c r="E53" s="70"/>
      <c r="F53" s="70"/>
      <c r="G53" s="70"/>
      <c r="H53" s="77" t="s">
        <v>160</v>
      </c>
      <c r="I53" s="116">
        <v>1548</v>
      </c>
      <c r="J53" s="70"/>
      <c r="K53" s="116">
        <v>2017</v>
      </c>
      <c r="L53" s="70"/>
      <c r="M53" s="116">
        <v>1</v>
      </c>
      <c r="N53" s="70"/>
      <c r="O53" s="70"/>
    </row>
    <row r="54" spans="2:15" x14ac:dyDescent="0.2">
      <c r="B54" s="70"/>
      <c r="C54" s="70"/>
      <c r="D54" s="70"/>
      <c r="E54" s="70"/>
      <c r="F54" s="70"/>
      <c r="G54" s="70"/>
      <c r="H54" s="77" t="s">
        <v>161</v>
      </c>
      <c r="I54" s="78">
        <v>385138.344334625</v>
      </c>
      <c r="J54" s="70"/>
      <c r="K54" s="78">
        <v>151765.70376797224</v>
      </c>
      <c r="L54" s="70"/>
      <c r="M54" s="78">
        <v>308853655.37912738</v>
      </c>
      <c r="N54" s="70"/>
      <c r="O54" s="70"/>
    </row>
  </sheetData>
  <protectedRanges>
    <protectedRange sqref="E47:E49" name="Rango3_2_1_3"/>
  </protectedRanges>
  <mergeCells count="1">
    <mergeCell ref="B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M31"/>
  <sheetViews>
    <sheetView view="pageBreakPreview" topLeftCell="C1" zoomScaleNormal="100" zoomScaleSheetLayoutView="100" workbookViewId="0">
      <selection activeCell="G3" sqref="G3"/>
    </sheetView>
  </sheetViews>
  <sheetFormatPr baseColWidth="10" defaultColWidth="11.5" defaultRowHeight="15" x14ac:dyDescent="0.2"/>
  <cols>
    <col min="1" max="1" width="2.6640625" customWidth="1"/>
    <col min="2" max="2" width="9.33203125" customWidth="1"/>
    <col min="3" max="3" width="30.33203125" customWidth="1"/>
    <col min="6" max="6" width="17.33203125" customWidth="1"/>
    <col min="7" max="7" width="20.1640625" customWidth="1"/>
    <col min="8" max="8" width="2.5" customWidth="1"/>
    <col min="9" max="9" width="3.6640625" customWidth="1"/>
    <col min="10" max="10" width="19.33203125" customWidth="1"/>
    <col min="11" max="11" width="4.83203125" customWidth="1"/>
    <col min="12" max="12" width="24.5" customWidth="1"/>
    <col min="13" max="13" width="20.6640625" customWidth="1"/>
  </cols>
  <sheetData>
    <row r="1" spans="2:8" ht="19.5" customHeight="1" x14ac:dyDescent="0.2">
      <c r="B1" s="267" t="s">
        <v>165</v>
      </c>
      <c r="C1" s="267"/>
      <c r="D1" s="267"/>
      <c r="E1" s="267"/>
      <c r="F1" s="267"/>
      <c r="G1" s="267"/>
    </row>
    <row r="2" spans="2:8" ht="29.25" customHeight="1" x14ac:dyDescent="0.2">
      <c r="B2" s="267"/>
      <c r="C2" s="267"/>
      <c r="D2" s="267"/>
      <c r="E2" s="267"/>
      <c r="F2" s="267"/>
      <c r="G2" s="267"/>
    </row>
    <row r="3" spans="2:8" ht="42" x14ac:dyDescent="0.2">
      <c r="B3" s="79" t="s">
        <v>1</v>
      </c>
      <c r="C3" s="80" t="s">
        <v>166</v>
      </c>
      <c r="D3" s="80" t="s">
        <v>167</v>
      </c>
      <c r="E3" s="80" t="s">
        <v>107</v>
      </c>
      <c r="F3" s="80"/>
      <c r="G3" s="80" t="s">
        <v>109</v>
      </c>
    </row>
    <row r="4" spans="2:8" x14ac:dyDescent="0.2">
      <c r="B4" s="81" t="s">
        <v>168</v>
      </c>
      <c r="C4" s="268" t="s">
        <v>169</v>
      </c>
      <c r="D4" s="268"/>
      <c r="E4" s="268"/>
      <c r="F4" s="268"/>
      <c r="G4" s="82"/>
    </row>
    <row r="5" spans="2:8" ht="45" x14ac:dyDescent="0.2">
      <c r="B5" s="83">
        <v>1</v>
      </c>
      <c r="C5" s="84" t="s">
        <v>170</v>
      </c>
      <c r="D5" s="85" t="s">
        <v>137</v>
      </c>
      <c r="E5" s="86">
        <v>1</v>
      </c>
      <c r="F5" s="87"/>
      <c r="G5" s="88">
        <v>39955380</v>
      </c>
    </row>
    <row r="7" spans="2:8" x14ac:dyDescent="0.2">
      <c r="B7" s="267" t="s">
        <v>171</v>
      </c>
      <c r="C7" s="267"/>
      <c r="D7" s="267"/>
      <c r="E7" s="267"/>
      <c r="F7" s="267"/>
      <c r="G7" s="267"/>
      <c r="H7" s="89"/>
    </row>
    <row r="8" spans="2:8" ht="28.5" customHeight="1" x14ac:dyDescent="0.2">
      <c r="B8" s="267"/>
      <c r="C8" s="267"/>
      <c r="D8" s="267"/>
      <c r="E8" s="267"/>
      <c r="F8" s="267"/>
      <c r="G8" s="267"/>
      <c r="H8" s="89"/>
    </row>
    <row r="9" spans="2:8" x14ac:dyDescent="0.2">
      <c r="B9" s="90" t="s">
        <v>1</v>
      </c>
      <c r="C9" s="90" t="s">
        <v>2</v>
      </c>
      <c r="D9" s="90" t="s">
        <v>3</v>
      </c>
      <c r="E9" s="90" t="s">
        <v>107</v>
      </c>
      <c r="F9" s="90" t="s">
        <v>172</v>
      </c>
      <c r="G9" s="90" t="s">
        <v>173</v>
      </c>
      <c r="H9" s="89"/>
    </row>
    <row r="10" spans="2:8" x14ac:dyDescent="0.2">
      <c r="B10" s="81" t="s">
        <v>168</v>
      </c>
      <c r="C10" s="268" t="s">
        <v>174</v>
      </c>
      <c r="D10" s="268"/>
      <c r="E10" s="268"/>
      <c r="F10" s="268"/>
      <c r="G10" s="82">
        <f>SUM(G11:G13)</f>
        <v>959562063.90912735</v>
      </c>
      <c r="H10" s="89"/>
    </row>
    <row r="11" spans="2:8" ht="28" x14ac:dyDescent="0.2">
      <c r="B11" s="91">
        <v>1</v>
      </c>
      <c r="C11" s="92" t="s">
        <v>175</v>
      </c>
      <c r="D11" s="91" t="s">
        <v>176</v>
      </c>
      <c r="E11" s="93">
        <v>2017</v>
      </c>
      <c r="F11" s="94">
        <f>'Hoja1 luz'!K45/'Hoja1 luz'!K53</f>
        <v>120239.02999504215</v>
      </c>
      <c r="G11" s="95">
        <f>E11*F11</f>
        <v>242522123.5</v>
      </c>
      <c r="H11" s="89"/>
    </row>
    <row r="12" spans="2:8" ht="51.75" customHeight="1" x14ac:dyDescent="0.2">
      <c r="B12" s="91">
        <v>2</v>
      </c>
      <c r="C12" s="92" t="s">
        <v>177</v>
      </c>
      <c r="D12" s="91" t="s">
        <v>176</v>
      </c>
      <c r="E12" s="93">
        <v>1548</v>
      </c>
      <c r="F12" s="94">
        <f>'Hoja1 luz'!I45/'Hoja1 luz'!I53</f>
        <v>305132.58141472866</v>
      </c>
      <c r="G12" s="95">
        <f t="shared" ref="G12:G13" si="0">E12*F12</f>
        <v>472345236.02999997</v>
      </c>
      <c r="H12" s="89"/>
    </row>
    <row r="13" spans="2:8" ht="44.25" customHeight="1" x14ac:dyDescent="0.2">
      <c r="B13" s="91">
        <v>3</v>
      </c>
      <c r="C13" s="92" t="s">
        <v>178</v>
      </c>
      <c r="D13" s="91" t="s">
        <v>137</v>
      </c>
      <c r="E13" s="93">
        <v>1</v>
      </c>
      <c r="F13" s="94">
        <f>'Hoja1 luz'!M45</f>
        <v>244694704.37912741</v>
      </c>
      <c r="G13" s="95">
        <f t="shared" si="0"/>
        <v>244694704.37912741</v>
      </c>
      <c r="H13" s="89"/>
    </row>
    <row r="14" spans="2:8" x14ac:dyDescent="0.2">
      <c r="B14" s="91"/>
      <c r="C14" s="92"/>
      <c r="D14" s="91"/>
      <c r="E14" s="93"/>
      <c r="F14" s="94"/>
      <c r="G14" s="95"/>
      <c r="H14" s="89"/>
    </row>
    <row r="15" spans="2:8" x14ac:dyDescent="0.2">
      <c r="B15" s="81" t="s">
        <v>179</v>
      </c>
      <c r="C15" s="268" t="s">
        <v>180</v>
      </c>
      <c r="D15" s="268"/>
      <c r="E15" s="268"/>
      <c r="F15" s="268"/>
      <c r="G15" s="96">
        <f>SUM(G16:G19)</f>
        <v>351618170.10566616</v>
      </c>
      <c r="H15" s="89"/>
    </row>
    <row r="16" spans="2:8" x14ac:dyDescent="0.2">
      <c r="B16" s="91"/>
      <c r="C16" s="97" t="s">
        <v>181</v>
      </c>
      <c r="D16" s="98">
        <v>0.27693608926474311</v>
      </c>
      <c r="E16" s="260"/>
      <c r="F16" s="260"/>
      <c r="G16" s="99">
        <f>$G$10*D16</f>
        <v>265737365.38579923</v>
      </c>
      <c r="H16" s="89"/>
    </row>
    <row r="17" spans="2:13" x14ac:dyDescent="0.2">
      <c r="B17" s="91"/>
      <c r="C17" s="97" t="s">
        <v>182</v>
      </c>
      <c r="D17" s="100">
        <v>0.03</v>
      </c>
      <c r="E17" s="260"/>
      <c r="F17" s="260"/>
      <c r="G17" s="99">
        <f>$G$10*D17</f>
        <v>28786861.917273819</v>
      </c>
      <c r="H17" s="89"/>
    </row>
    <row r="18" spans="2:13" x14ac:dyDescent="0.2">
      <c r="B18" s="91"/>
      <c r="C18" s="97" t="s">
        <v>183</v>
      </c>
      <c r="D18" s="100">
        <v>0.05</v>
      </c>
      <c r="E18" s="260"/>
      <c r="F18" s="260"/>
      <c r="G18" s="99">
        <f>$G$10*D18</f>
        <v>47978103.195456371</v>
      </c>
      <c r="H18" s="89"/>
    </row>
    <row r="19" spans="2:13" x14ac:dyDescent="0.2">
      <c r="B19" s="91"/>
      <c r="C19" s="97" t="s">
        <v>184</v>
      </c>
      <c r="D19" s="100">
        <v>0.19</v>
      </c>
      <c r="E19" s="260"/>
      <c r="F19" s="260"/>
      <c r="G19" s="99">
        <f>G18*D19</f>
        <v>9115839.6071367096</v>
      </c>
      <c r="H19" s="89"/>
    </row>
    <row r="20" spans="2:13" x14ac:dyDescent="0.2">
      <c r="B20" s="261" t="s">
        <v>185</v>
      </c>
      <c r="C20" s="261"/>
      <c r="D20" s="261"/>
      <c r="E20" s="261"/>
      <c r="F20" s="261"/>
      <c r="G20" s="101">
        <f>G10+G15</f>
        <v>1311180234.0147934</v>
      </c>
      <c r="H20" s="89"/>
    </row>
    <row r="22" spans="2:13" ht="32.25" customHeight="1" x14ac:dyDescent="0.2">
      <c r="B22" s="255" t="s">
        <v>186</v>
      </c>
      <c r="C22" s="255"/>
      <c r="D22" s="102" t="s">
        <v>187</v>
      </c>
      <c r="E22" s="255" t="s">
        <v>188</v>
      </c>
      <c r="F22" s="255"/>
      <c r="G22" s="102" t="s">
        <v>189</v>
      </c>
      <c r="J22" s="102" t="s">
        <v>190</v>
      </c>
      <c r="L22" s="103" t="s">
        <v>191</v>
      </c>
      <c r="M22" s="103" t="s">
        <v>192</v>
      </c>
    </row>
    <row r="23" spans="2:13" ht="50.25" customHeight="1" x14ac:dyDescent="0.2">
      <c r="B23" s="262" t="s">
        <v>193</v>
      </c>
      <c r="C23" s="263"/>
      <c r="D23" s="104">
        <v>1</v>
      </c>
      <c r="E23" s="266" t="s">
        <v>194</v>
      </c>
      <c r="F23" s="266"/>
      <c r="G23" s="105">
        <f>G5</f>
        <v>39955380</v>
      </c>
      <c r="J23" s="106">
        <v>35818410</v>
      </c>
      <c r="L23" s="35">
        <v>893893675.20000005</v>
      </c>
      <c r="M23" s="35">
        <v>0</v>
      </c>
    </row>
    <row r="24" spans="2:13" ht="45.75" customHeight="1" x14ac:dyDescent="0.2">
      <c r="B24" s="264"/>
      <c r="C24" s="265"/>
      <c r="D24" s="104">
        <v>2</v>
      </c>
      <c r="E24" s="266" t="s">
        <v>195</v>
      </c>
      <c r="F24" s="266"/>
      <c r="G24" s="107">
        <v>1311180234</v>
      </c>
      <c r="J24" s="106">
        <v>177984850</v>
      </c>
      <c r="L24" s="35">
        <f>865245621-240226876</f>
        <v>625018745</v>
      </c>
      <c r="M24" s="35">
        <v>234694428</v>
      </c>
    </row>
    <row r="25" spans="2:13" ht="24.75" customHeight="1" x14ac:dyDescent="0.2">
      <c r="B25" s="255" t="s">
        <v>196</v>
      </c>
      <c r="C25" s="255"/>
      <c r="D25" s="102">
        <v>3</v>
      </c>
      <c r="E25" s="255" t="s">
        <v>197</v>
      </c>
      <c r="F25" s="255"/>
      <c r="G25" s="108">
        <f>SUM(G23:G24)</f>
        <v>1351135614</v>
      </c>
      <c r="J25" s="109">
        <f>SUM(J23:J24)</f>
        <v>213803260</v>
      </c>
      <c r="L25" s="70"/>
      <c r="M25" s="70"/>
    </row>
    <row r="26" spans="2:13" x14ac:dyDescent="0.2">
      <c r="J26" s="110">
        <f>J25/G25</f>
        <v>0.15823967467413674</v>
      </c>
      <c r="K26" s="111"/>
      <c r="L26" s="35">
        <f>SUM(L23:L25)</f>
        <v>1518912420.2</v>
      </c>
      <c r="M26" s="35">
        <f>SUM(M23:M25)</f>
        <v>234694428</v>
      </c>
    </row>
    <row r="27" spans="2:13" ht="28" x14ac:dyDescent="0.2">
      <c r="B27" s="255" t="s">
        <v>188</v>
      </c>
      <c r="C27" s="255"/>
      <c r="D27" s="255" t="s">
        <v>198</v>
      </c>
      <c r="E27" s="255"/>
      <c r="F27" s="255" t="s">
        <v>199</v>
      </c>
      <c r="G27" s="255"/>
      <c r="J27" s="102" t="s">
        <v>200</v>
      </c>
    </row>
    <row r="28" spans="2:13" ht="32.25" customHeight="1" x14ac:dyDescent="0.2">
      <c r="B28" s="257" t="s">
        <v>201</v>
      </c>
      <c r="C28" s="257"/>
      <c r="D28" s="258">
        <f>ROUND(G23*0.9,0)</f>
        <v>35959842</v>
      </c>
      <c r="E28" s="258"/>
      <c r="F28" s="259" t="s">
        <v>202</v>
      </c>
      <c r="G28" s="259"/>
      <c r="J28" s="106">
        <f>G25+J25</f>
        <v>1564938874</v>
      </c>
      <c r="L28" s="112">
        <f>L26-J28</f>
        <v>-46026453.799999952</v>
      </c>
    </row>
    <row r="29" spans="2:13" ht="32.25" customHeight="1" x14ac:dyDescent="0.2">
      <c r="B29" s="257" t="s">
        <v>203</v>
      </c>
      <c r="C29" s="257"/>
      <c r="D29" s="258">
        <f>ROUND(G24*0.9,0)</f>
        <v>1180062211</v>
      </c>
      <c r="E29" s="258"/>
      <c r="F29" s="259" t="s">
        <v>204</v>
      </c>
      <c r="G29" s="259"/>
    </row>
    <row r="30" spans="2:13" x14ac:dyDescent="0.2">
      <c r="B30" s="255" t="s">
        <v>205</v>
      </c>
      <c r="C30" s="255"/>
      <c r="D30" s="256">
        <f>SUM(D28:E29)</f>
        <v>1216022053</v>
      </c>
      <c r="E30" s="256"/>
      <c r="F30" s="255" t="s">
        <v>206</v>
      </c>
      <c r="G30" s="255"/>
    </row>
    <row r="31" spans="2:13" x14ac:dyDescent="0.2">
      <c r="B31" s="255" t="s">
        <v>207</v>
      </c>
      <c r="C31" s="255"/>
      <c r="D31" s="256"/>
      <c r="E31" s="256"/>
      <c r="F31" s="255"/>
      <c r="G31" s="255"/>
    </row>
  </sheetData>
  <mergeCells count="30">
    <mergeCell ref="E16:F16"/>
    <mergeCell ref="B1:G2"/>
    <mergeCell ref="C4:F4"/>
    <mergeCell ref="B7:G8"/>
    <mergeCell ref="C10:F10"/>
    <mergeCell ref="C15:F15"/>
    <mergeCell ref="B27:C27"/>
    <mergeCell ref="D27:E27"/>
    <mergeCell ref="F27:G27"/>
    <mergeCell ref="E17:F17"/>
    <mergeCell ref="E18:F18"/>
    <mergeCell ref="E19:F19"/>
    <mergeCell ref="B20:F20"/>
    <mergeCell ref="B22:C22"/>
    <mergeCell ref="E22:F22"/>
    <mergeCell ref="B23:C24"/>
    <mergeCell ref="E23:F23"/>
    <mergeCell ref="E24:F24"/>
    <mergeCell ref="B25:C25"/>
    <mergeCell ref="E25:F25"/>
    <mergeCell ref="B30:C30"/>
    <mergeCell ref="D30:E31"/>
    <mergeCell ref="F30:G31"/>
    <mergeCell ref="B31:C31"/>
    <mergeCell ref="B28:C28"/>
    <mergeCell ref="D28:E28"/>
    <mergeCell ref="F28:G28"/>
    <mergeCell ref="B29:C29"/>
    <mergeCell ref="D29:E29"/>
    <mergeCell ref="F29:G29"/>
  </mergeCells>
  <pageMargins left="0.7" right="0.7" top="0.75" bottom="0.75" header="0.3" footer="0.3"/>
  <pageSetup scale="88" orientation="portrait" r:id="rId1"/>
  <colBreaks count="1" manualBreakCount="1">
    <brk id="7"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Q82"/>
  <sheetViews>
    <sheetView tabSelected="1" view="pageBreakPreview" topLeftCell="A35" zoomScale="132" zoomScaleNormal="85" zoomScaleSheetLayoutView="132" workbookViewId="0">
      <selection activeCell="C38" sqref="C38"/>
    </sheetView>
  </sheetViews>
  <sheetFormatPr baseColWidth="10" defaultColWidth="11.5" defaultRowHeight="13" x14ac:dyDescent="0.2"/>
  <cols>
    <col min="1" max="1" width="5.5" style="190" customWidth="1"/>
    <col min="2" max="2" width="5.1640625" style="190" customWidth="1"/>
    <col min="3" max="3" width="34.1640625" style="190" customWidth="1"/>
    <col min="4" max="4" width="8.6640625" style="190" customWidth="1"/>
    <col min="5" max="5" width="15.6640625" style="190" customWidth="1"/>
    <col min="6" max="6" width="19.6640625" style="190" customWidth="1"/>
    <col min="7" max="7" width="18.5" style="198" customWidth="1"/>
    <col min="8" max="8" width="7.83203125" style="188" customWidth="1"/>
    <col min="9" max="9" width="14.5" style="188" customWidth="1"/>
    <col min="10" max="10" width="13.5" style="188" customWidth="1"/>
    <col min="11" max="11" width="13.6640625" style="188" customWidth="1"/>
    <col min="12" max="12" width="14" style="190" customWidth="1"/>
    <col min="13" max="13" width="13.5" style="190" customWidth="1"/>
    <col min="14" max="14" width="11.83203125" style="190" customWidth="1"/>
    <col min="15" max="15" width="11.5" style="190" customWidth="1"/>
    <col min="16" max="16" width="13.33203125" style="190" customWidth="1"/>
    <col min="17" max="17" width="10.5" style="190" customWidth="1"/>
    <col min="18" max="18" width="8.5" style="190" customWidth="1"/>
    <col min="19" max="19" width="15.5" style="190" customWidth="1"/>
    <col min="20" max="20" width="20.6640625" style="190" customWidth="1"/>
    <col min="21" max="21" width="23" style="190" customWidth="1"/>
    <col min="22" max="16384" width="11.5" style="190"/>
  </cols>
  <sheetData>
    <row r="1" spans="2:17" x14ac:dyDescent="0.2">
      <c r="B1" s="188"/>
      <c r="C1" s="188"/>
      <c r="D1" s="188"/>
      <c r="E1" s="188"/>
      <c r="F1" s="189"/>
      <c r="G1" s="234"/>
      <c r="H1" s="189"/>
      <c r="I1" s="189"/>
      <c r="J1" s="189"/>
      <c r="K1" s="189"/>
      <c r="L1" s="188"/>
    </row>
    <row r="2" spans="2:17" ht="59" customHeight="1" thickBot="1" x14ac:dyDescent="0.25">
      <c r="B2" s="276"/>
      <c r="C2" s="276"/>
      <c r="D2" s="276"/>
      <c r="E2" s="276"/>
      <c r="F2" s="276"/>
      <c r="G2" s="276"/>
      <c r="H2" s="189"/>
      <c r="I2" s="189"/>
      <c r="J2" s="189"/>
      <c r="K2" s="189"/>
      <c r="L2" s="188"/>
    </row>
    <row r="3" spans="2:17" ht="29" customHeight="1" thickBot="1" x14ac:dyDescent="0.25">
      <c r="B3" s="280" t="s">
        <v>208</v>
      </c>
      <c r="C3" s="281"/>
      <c r="D3" s="281"/>
      <c r="E3" s="281"/>
      <c r="F3" s="281"/>
      <c r="G3" s="282"/>
      <c r="L3" s="188"/>
      <c r="M3" s="188"/>
      <c r="N3" s="188"/>
      <c r="O3" s="188"/>
      <c r="P3" s="188"/>
      <c r="Q3" s="188"/>
    </row>
    <row r="4" spans="2:17" ht="29.25" customHeight="1" x14ac:dyDescent="0.2">
      <c r="B4" s="286" t="s">
        <v>272</v>
      </c>
      <c r="C4" s="286"/>
      <c r="D4" s="286"/>
      <c r="E4" s="286"/>
      <c r="F4" s="286"/>
      <c r="G4" s="286"/>
      <c r="L4" s="188"/>
      <c r="M4" s="188"/>
      <c r="N4" s="188"/>
      <c r="O4" s="188"/>
      <c r="P4" s="188"/>
      <c r="Q4" s="188"/>
    </row>
    <row r="5" spans="2:17" ht="15.75" customHeight="1" x14ac:dyDescent="0.2">
      <c r="B5" s="287"/>
      <c r="C5" s="287"/>
      <c r="D5" s="287"/>
      <c r="E5" s="287"/>
      <c r="F5" s="287"/>
      <c r="G5" s="287"/>
      <c r="L5" s="188"/>
      <c r="M5" s="188"/>
      <c r="N5" s="188"/>
      <c r="O5" s="188"/>
      <c r="P5" s="188"/>
      <c r="Q5" s="188"/>
    </row>
    <row r="6" spans="2:17" ht="14" customHeight="1" x14ac:dyDescent="0.2">
      <c r="B6" s="288" t="s">
        <v>274</v>
      </c>
      <c r="C6" s="289"/>
      <c r="D6" s="289"/>
      <c r="E6" s="289"/>
      <c r="F6" s="289"/>
      <c r="G6" s="290"/>
      <c r="L6" s="188"/>
      <c r="M6" s="188"/>
      <c r="N6" s="188"/>
      <c r="O6" s="188"/>
      <c r="P6" s="188"/>
      <c r="Q6" s="188"/>
    </row>
    <row r="7" spans="2:17" ht="14" customHeight="1" x14ac:dyDescent="0.2">
      <c r="B7" s="291"/>
      <c r="C7" s="292"/>
      <c r="D7" s="292"/>
      <c r="E7" s="292"/>
      <c r="F7" s="292"/>
      <c r="G7" s="293"/>
      <c r="L7" s="188"/>
      <c r="M7" s="188"/>
      <c r="N7" s="188"/>
      <c r="O7" s="188"/>
      <c r="P7" s="188"/>
      <c r="Q7" s="188"/>
    </row>
    <row r="8" spans="2:17" ht="18" customHeight="1" x14ac:dyDescent="0.2">
      <c r="B8" s="294" t="s">
        <v>2</v>
      </c>
      <c r="C8" s="295"/>
      <c r="D8" s="295"/>
      <c r="E8" s="295"/>
      <c r="F8" s="296"/>
      <c r="G8" s="226" t="s">
        <v>173</v>
      </c>
      <c r="L8" s="188"/>
      <c r="M8" s="188"/>
      <c r="N8" s="188"/>
      <c r="O8" s="188"/>
      <c r="P8" s="188"/>
      <c r="Q8" s="188"/>
    </row>
    <row r="9" spans="2:17" ht="33" customHeight="1" x14ac:dyDescent="0.2">
      <c r="B9" s="232" t="s">
        <v>168</v>
      </c>
      <c r="C9" s="297" t="s">
        <v>273</v>
      </c>
      <c r="D9" s="298"/>
      <c r="E9" s="298"/>
      <c r="F9" s="299"/>
      <c r="G9" s="227"/>
      <c r="H9" s="246"/>
      <c r="L9" s="188"/>
      <c r="M9" s="188"/>
      <c r="N9" s="188"/>
      <c r="O9" s="188"/>
      <c r="P9" s="188"/>
      <c r="Q9" s="188"/>
    </row>
    <row r="10" spans="2:17" ht="41" customHeight="1" x14ac:dyDescent="0.2">
      <c r="B10" s="300" t="s">
        <v>276</v>
      </c>
      <c r="C10" s="301"/>
      <c r="D10" s="301"/>
      <c r="E10" s="301"/>
      <c r="F10" s="302"/>
      <c r="G10" s="235"/>
      <c r="H10" s="247"/>
      <c r="L10" s="188"/>
      <c r="M10" s="188"/>
      <c r="N10" s="188"/>
      <c r="O10" s="188"/>
      <c r="P10" s="188"/>
      <c r="Q10" s="188"/>
    </row>
    <row r="11" spans="2:17" ht="32.25" customHeight="1" x14ac:dyDescent="0.2">
      <c r="B11" s="283" t="s">
        <v>209</v>
      </c>
      <c r="C11" s="284"/>
      <c r="D11" s="284"/>
      <c r="E11" s="284"/>
      <c r="F11" s="285"/>
      <c r="G11" s="235"/>
      <c r="H11" s="207"/>
      <c r="L11" s="188"/>
      <c r="M11" s="188"/>
      <c r="N11" s="188"/>
      <c r="O11" s="188"/>
      <c r="P11" s="188"/>
      <c r="Q11" s="188"/>
    </row>
    <row r="12" spans="2:17" ht="32.25" customHeight="1" x14ac:dyDescent="0.2">
      <c r="B12" s="306" t="s">
        <v>275</v>
      </c>
      <c r="C12" s="306"/>
      <c r="D12" s="306"/>
      <c r="E12" s="306"/>
      <c r="F12" s="306"/>
      <c r="G12" s="306"/>
      <c r="L12" s="188"/>
      <c r="M12" s="188"/>
      <c r="N12" s="188"/>
      <c r="O12" s="188"/>
      <c r="P12" s="188"/>
      <c r="Q12" s="188"/>
    </row>
    <row r="13" spans="2:17" s="199" customFormat="1" ht="32.25" customHeight="1" x14ac:dyDescent="0.2">
      <c r="B13" s="212" t="s">
        <v>1</v>
      </c>
      <c r="C13" s="212" t="s">
        <v>2</v>
      </c>
      <c r="D13" s="212" t="s">
        <v>3</v>
      </c>
      <c r="E13" s="212" t="s">
        <v>268</v>
      </c>
      <c r="F13" s="212" t="s">
        <v>172</v>
      </c>
      <c r="G13" s="212" t="s">
        <v>173</v>
      </c>
      <c r="H13" s="229"/>
      <c r="I13" s="229"/>
      <c r="J13" s="229"/>
      <c r="K13" s="229"/>
      <c r="L13" s="229"/>
      <c r="M13" s="229"/>
      <c r="N13" s="229"/>
      <c r="O13" s="229"/>
      <c r="P13" s="229"/>
      <c r="Q13" s="229"/>
    </row>
    <row r="14" spans="2:17" ht="22.5" customHeight="1" x14ac:dyDescent="0.2">
      <c r="B14" s="219"/>
      <c r="C14" s="224" t="s">
        <v>210</v>
      </c>
      <c r="D14" s="225"/>
      <c r="E14" s="225"/>
      <c r="F14" s="224"/>
      <c r="G14" s="236"/>
      <c r="H14" s="191"/>
      <c r="I14" s="192"/>
      <c r="J14" s="193"/>
      <c r="K14" s="194"/>
      <c r="L14" s="195"/>
      <c r="M14" s="196"/>
      <c r="N14" s="195"/>
      <c r="O14" s="195"/>
      <c r="P14" s="195"/>
      <c r="Q14" s="195"/>
    </row>
    <row r="15" spans="2:17" ht="116" customHeight="1" x14ac:dyDescent="0.2">
      <c r="B15" s="209">
        <v>1</v>
      </c>
      <c r="C15" s="221" t="s">
        <v>211</v>
      </c>
      <c r="D15" s="104" t="s">
        <v>3</v>
      </c>
      <c r="E15" s="104">
        <v>16</v>
      </c>
      <c r="F15" s="218"/>
      <c r="G15" s="237"/>
      <c r="H15" s="191"/>
      <c r="I15" s="192"/>
      <c r="J15" s="193"/>
      <c r="K15" s="194"/>
      <c r="L15" s="195"/>
      <c r="M15" s="195"/>
      <c r="N15" s="195"/>
      <c r="O15" s="195"/>
      <c r="P15" s="195"/>
      <c r="Q15" s="195"/>
    </row>
    <row r="16" spans="2:17" ht="95" customHeight="1" x14ac:dyDescent="0.2">
      <c r="B16" s="209">
        <v>2</v>
      </c>
      <c r="C16" s="221" t="s">
        <v>212</v>
      </c>
      <c r="D16" s="104" t="s">
        <v>3</v>
      </c>
      <c r="E16" s="104">
        <v>16</v>
      </c>
      <c r="F16" s="218"/>
      <c r="G16" s="237"/>
      <c r="H16" s="191"/>
      <c r="I16" s="192"/>
      <c r="J16" s="193"/>
      <c r="K16" s="194"/>
      <c r="L16" s="195"/>
      <c r="M16" s="195"/>
      <c r="N16" s="195"/>
      <c r="O16" s="195"/>
      <c r="P16" s="195"/>
      <c r="Q16" s="195"/>
    </row>
    <row r="17" spans="2:17" ht="162" customHeight="1" x14ac:dyDescent="0.2">
      <c r="B17" s="209">
        <v>3</v>
      </c>
      <c r="C17" s="222" t="s">
        <v>213</v>
      </c>
      <c r="D17" s="104" t="s">
        <v>3</v>
      </c>
      <c r="E17" s="104">
        <v>11</v>
      </c>
      <c r="F17" s="218"/>
      <c r="G17" s="237"/>
      <c r="H17" s="191"/>
      <c r="I17" s="192"/>
      <c r="J17" s="193"/>
      <c r="K17" s="194"/>
      <c r="L17" s="195"/>
      <c r="M17" s="195"/>
      <c r="N17" s="195"/>
      <c r="O17" s="195"/>
      <c r="P17" s="195"/>
      <c r="Q17" s="195"/>
    </row>
    <row r="18" spans="2:17" ht="116" customHeight="1" x14ac:dyDescent="0.2">
      <c r="B18" s="209">
        <v>4</v>
      </c>
      <c r="C18" s="220" t="s">
        <v>214</v>
      </c>
      <c r="D18" s="104" t="s">
        <v>3</v>
      </c>
      <c r="E18" s="104">
        <v>498</v>
      </c>
      <c r="F18" s="218"/>
      <c r="G18" s="237"/>
      <c r="H18" s="191"/>
      <c r="I18" s="192"/>
      <c r="J18" s="193"/>
      <c r="K18" s="194"/>
      <c r="L18" s="195"/>
      <c r="M18" s="195"/>
      <c r="N18" s="195"/>
      <c r="O18" s="195"/>
      <c r="P18" s="195"/>
      <c r="Q18" s="195"/>
    </row>
    <row r="19" spans="2:17" ht="113" customHeight="1" x14ac:dyDescent="0.2">
      <c r="B19" s="209">
        <v>5</v>
      </c>
      <c r="C19" s="220" t="s">
        <v>215</v>
      </c>
      <c r="D19" s="104" t="s">
        <v>3</v>
      </c>
      <c r="E19" s="104">
        <v>1061</v>
      </c>
      <c r="F19" s="218"/>
      <c r="G19" s="237"/>
      <c r="H19" s="191"/>
      <c r="I19" s="197"/>
      <c r="J19" s="197"/>
      <c r="K19" s="197"/>
    </row>
    <row r="20" spans="2:17" ht="135" customHeight="1" x14ac:dyDescent="0.2">
      <c r="B20" s="209">
        <v>6</v>
      </c>
      <c r="C20" s="220" t="s">
        <v>216</v>
      </c>
      <c r="D20" s="104" t="s">
        <v>10</v>
      </c>
      <c r="E20" s="104">
        <v>235</v>
      </c>
      <c r="F20" s="218"/>
      <c r="G20" s="237"/>
      <c r="H20" s="191"/>
      <c r="I20" s="197"/>
      <c r="J20" s="197"/>
      <c r="K20" s="197"/>
    </row>
    <row r="21" spans="2:17" ht="142" customHeight="1" x14ac:dyDescent="0.2">
      <c r="B21" s="209">
        <v>7</v>
      </c>
      <c r="C21" s="220" t="s">
        <v>217</v>
      </c>
      <c r="D21" s="104" t="s">
        <v>3</v>
      </c>
      <c r="E21" s="104">
        <v>133</v>
      </c>
      <c r="F21" s="218"/>
      <c r="G21" s="237"/>
      <c r="H21" s="191"/>
      <c r="I21" s="197"/>
      <c r="J21" s="197"/>
      <c r="K21" s="197"/>
    </row>
    <row r="22" spans="2:17" ht="149" customHeight="1" x14ac:dyDescent="0.2">
      <c r="B22" s="209">
        <v>8</v>
      </c>
      <c r="C22" s="220" t="s">
        <v>218</v>
      </c>
      <c r="D22" s="104" t="s">
        <v>3</v>
      </c>
      <c r="E22" s="104">
        <v>16</v>
      </c>
      <c r="F22" s="218"/>
      <c r="G22" s="237"/>
      <c r="H22" s="191"/>
      <c r="I22" s="192"/>
      <c r="J22" s="193"/>
      <c r="K22" s="194"/>
      <c r="L22" s="195"/>
      <c r="M22" s="195"/>
      <c r="N22" s="195"/>
      <c r="O22" s="195"/>
      <c r="P22" s="195"/>
      <c r="Q22" s="195"/>
    </row>
    <row r="23" spans="2:17" ht="186" customHeight="1" x14ac:dyDescent="0.2">
      <c r="B23" s="209">
        <v>9</v>
      </c>
      <c r="C23" s="220" t="s">
        <v>219</v>
      </c>
      <c r="D23" s="104" t="s">
        <v>3</v>
      </c>
      <c r="E23" s="104">
        <v>12</v>
      </c>
      <c r="F23" s="218"/>
      <c r="G23" s="237"/>
      <c r="H23" s="191"/>
      <c r="I23" s="192"/>
      <c r="J23" s="193"/>
      <c r="K23" s="194"/>
      <c r="L23" s="195"/>
      <c r="M23" s="195"/>
      <c r="N23" s="195"/>
      <c r="O23" s="195"/>
      <c r="P23" s="195"/>
      <c r="Q23" s="195"/>
    </row>
    <row r="24" spans="2:17" ht="131" customHeight="1" x14ac:dyDescent="0.2">
      <c r="B24" s="209">
        <v>10</v>
      </c>
      <c r="C24" s="223" t="s">
        <v>220</v>
      </c>
      <c r="D24" s="104" t="s">
        <v>3</v>
      </c>
      <c r="E24" s="104">
        <v>16</v>
      </c>
      <c r="F24" s="218"/>
      <c r="G24" s="237"/>
      <c r="H24" s="191"/>
      <c r="I24" s="192"/>
      <c r="J24" s="193"/>
      <c r="K24" s="194"/>
      <c r="L24" s="195"/>
      <c r="M24" s="195"/>
      <c r="N24" s="195"/>
      <c r="O24" s="195"/>
      <c r="P24" s="195"/>
      <c r="Q24" s="195"/>
    </row>
    <row r="25" spans="2:17" ht="135" customHeight="1" x14ac:dyDescent="0.2">
      <c r="B25" s="209">
        <v>11</v>
      </c>
      <c r="C25" s="220" t="s">
        <v>220</v>
      </c>
      <c r="D25" s="104" t="s">
        <v>3</v>
      </c>
      <c r="E25" s="104">
        <v>32</v>
      </c>
      <c r="F25" s="218"/>
      <c r="G25" s="237"/>
      <c r="H25" s="191"/>
      <c r="I25" s="192"/>
      <c r="J25" s="193"/>
      <c r="K25" s="194"/>
      <c r="L25" s="195"/>
      <c r="M25" s="195"/>
      <c r="N25" s="195"/>
      <c r="O25" s="195"/>
      <c r="P25" s="195"/>
      <c r="Q25" s="195"/>
    </row>
    <row r="26" spans="2:17" ht="188" customHeight="1" x14ac:dyDescent="0.2">
      <c r="B26" s="209">
        <v>12</v>
      </c>
      <c r="C26" s="220" t="s">
        <v>221</v>
      </c>
      <c r="D26" s="104" t="s">
        <v>3</v>
      </c>
      <c r="E26" s="104">
        <v>16</v>
      </c>
      <c r="F26" s="218"/>
      <c r="G26" s="237"/>
      <c r="H26" s="191"/>
      <c r="I26" s="197"/>
      <c r="J26" s="197"/>
      <c r="K26" s="197"/>
    </row>
    <row r="27" spans="2:17" ht="60" customHeight="1" x14ac:dyDescent="0.2">
      <c r="B27" s="209">
        <v>13</v>
      </c>
      <c r="C27" s="220" t="s">
        <v>222</v>
      </c>
      <c r="D27" s="104" t="s">
        <v>3</v>
      </c>
      <c r="E27" s="104">
        <v>16</v>
      </c>
      <c r="F27" s="218"/>
      <c r="G27" s="237"/>
      <c r="H27" s="191"/>
      <c r="I27" s="197"/>
      <c r="J27" s="197"/>
      <c r="K27" s="197"/>
    </row>
    <row r="28" spans="2:17" ht="40" customHeight="1" x14ac:dyDescent="0.2">
      <c r="B28" s="209">
        <v>14</v>
      </c>
      <c r="C28" s="220" t="s">
        <v>223</v>
      </c>
      <c r="D28" s="104" t="s">
        <v>3</v>
      </c>
      <c r="E28" s="104">
        <v>16</v>
      </c>
      <c r="F28" s="218"/>
      <c r="G28" s="237"/>
      <c r="H28" s="191"/>
      <c r="I28" s="197"/>
      <c r="J28" s="197"/>
      <c r="K28" s="197"/>
    </row>
    <row r="29" spans="2:17" ht="60" customHeight="1" x14ac:dyDescent="0.2">
      <c r="B29" s="209">
        <v>15</v>
      </c>
      <c r="C29" s="220" t="s">
        <v>224</v>
      </c>
      <c r="D29" s="104" t="s">
        <v>3</v>
      </c>
      <c r="E29" s="104">
        <v>16</v>
      </c>
      <c r="F29" s="218"/>
      <c r="G29" s="237"/>
      <c r="H29" s="191"/>
      <c r="I29" s="197"/>
      <c r="J29" s="197"/>
      <c r="K29" s="197"/>
    </row>
    <row r="30" spans="2:17" ht="60" customHeight="1" x14ac:dyDescent="0.2">
      <c r="B30" s="209">
        <v>16</v>
      </c>
      <c r="C30" s="220" t="s">
        <v>225</v>
      </c>
      <c r="D30" s="104" t="s">
        <v>3</v>
      </c>
      <c r="E30" s="104">
        <v>16</v>
      </c>
      <c r="F30" s="218"/>
      <c r="G30" s="237"/>
      <c r="H30" s="191"/>
      <c r="I30" s="197"/>
      <c r="J30" s="197"/>
      <c r="K30" s="197"/>
    </row>
    <row r="31" spans="2:17" ht="156" customHeight="1" x14ac:dyDescent="0.2">
      <c r="B31" s="209">
        <v>17</v>
      </c>
      <c r="C31" s="220" t="s">
        <v>226</v>
      </c>
      <c r="D31" s="104" t="s">
        <v>3</v>
      </c>
      <c r="E31" s="104">
        <v>256</v>
      </c>
      <c r="F31" s="218"/>
      <c r="G31" s="237"/>
      <c r="H31" s="191"/>
      <c r="I31" s="197"/>
      <c r="J31" s="197"/>
      <c r="K31" s="197"/>
      <c r="L31" s="197"/>
      <c r="M31" s="275"/>
      <c r="N31" s="275"/>
    </row>
    <row r="32" spans="2:17" ht="240" customHeight="1" x14ac:dyDescent="0.2">
      <c r="B32" s="209">
        <v>18</v>
      </c>
      <c r="C32" s="220" t="s">
        <v>227</v>
      </c>
      <c r="D32" s="104" t="s">
        <v>3</v>
      </c>
      <c r="E32" s="104">
        <v>256</v>
      </c>
      <c r="F32" s="218"/>
      <c r="G32" s="237"/>
      <c r="H32" s="191"/>
      <c r="I32" s="192"/>
      <c r="J32" s="193"/>
      <c r="K32" s="194"/>
      <c r="L32" s="195"/>
      <c r="M32" s="195"/>
      <c r="N32" s="195"/>
      <c r="O32" s="195"/>
      <c r="P32" s="195"/>
      <c r="Q32" s="195"/>
    </row>
    <row r="33" spans="2:17" ht="165" customHeight="1" x14ac:dyDescent="0.2">
      <c r="B33" s="209">
        <v>19</v>
      </c>
      <c r="C33" s="220" t="s">
        <v>228</v>
      </c>
      <c r="D33" s="104" t="s">
        <v>3</v>
      </c>
      <c r="E33" s="104">
        <v>364</v>
      </c>
      <c r="F33" s="218"/>
      <c r="G33" s="237"/>
      <c r="H33" s="191"/>
      <c r="I33" s="192"/>
      <c r="J33" s="193"/>
      <c r="K33" s="194"/>
      <c r="L33" s="195"/>
      <c r="M33" s="195"/>
      <c r="N33" s="195"/>
      <c r="O33" s="195"/>
      <c r="P33" s="195"/>
      <c r="Q33" s="195"/>
    </row>
    <row r="34" spans="2:17" ht="230" customHeight="1" x14ac:dyDescent="0.2">
      <c r="B34" s="209">
        <v>20</v>
      </c>
      <c r="C34" s="223" t="s">
        <v>229</v>
      </c>
      <c r="D34" s="104" t="s">
        <v>3</v>
      </c>
      <c r="E34" s="104">
        <v>16</v>
      </c>
      <c r="F34" s="218"/>
      <c r="G34" s="237"/>
      <c r="H34" s="191"/>
      <c r="I34" s="192"/>
      <c r="J34" s="193"/>
      <c r="K34" s="194"/>
      <c r="L34" s="195"/>
      <c r="M34" s="195"/>
      <c r="N34" s="195"/>
      <c r="O34" s="195"/>
      <c r="P34" s="195"/>
      <c r="Q34" s="195"/>
    </row>
    <row r="35" spans="2:17" ht="151" customHeight="1" x14ac:dyDescent="0.2">
      <c r="B35" s="209">
        <v>21</v>
      </c>
      <c r="C35" s="220" t="s">
        <v>230</v>
      </c>
      <c r="D35" s="104" t="s">
        <v>3</v>
      </c>
      <c r="E35" s="104">
        <v>43</v>
      </c>
      <c r="F35" s="218"/>
      <c r="G35" s="237"/>
      <c r="H35" s="191"/>
      <c r="I35" s="192"/>
      <c r="J35" s="193"/>
      <c r="K35" s="194"/>
      <c r="L35" s="195"/>
      <c r="M35" s="195"/>
      <c r="N35" s="195"/>
      <c r="O35" s="195"/>
      <c r="P35" s="195"/>
      <c r="Q35" s="195"/>
    </row>
    <row r="36" spans="2:17" ht="60" customHeight="1" x14ac:dyDescent="0.2">
      <c r="B36" s="209">
        <v>22</v>
      </c>
      <c r="C36" s="220" t="s">
        <v>231</v>
      </c>
      <c r="D36" s="104" t="s">
        <v>3</v>
      </c>
      <c r="E36" s="104">
        <v>43</v>
      </c>
      <c r="F36" s="218"/>
      <c r="G36" s="237"/>
      <c r="H36" s="191"/>
      <c r="I36" s="197"/>
      <c r="J36" s="197"/>
      <c r="K36" s="197"/>
    </row>
    <row r="37" spans="2:17" ht="95" customHeight="1" x14ac:dyDescent="0.2">
      <c r="B37" s="209">
        <v>23</v>
      </c>
      <c r="C37" s="220" t="s">
        <v>232</v>
      </c>
      <c r="D37" s="104" t="s">
        <v>3</v>
      </c>
      <c r="E37" s="104">
        <v>16</v>
      </c>
      <c r="F37" s="218"/>
      <c r="G37" s="237"/>
      <c r="H37" s="191"/>
      <c r="I37" s="197"/>
      <c r="J37" s="197"/>
      <c r="K37" s="197"/>
    </row>
    <row r="38" spans="2:17" ht="135" customHeight="1" x14ac:dyDescent="0.2">
      <c r="B38" s="209">
        <v>24</v>
      </c>
      <c r="C38" s="316" t="s">
        <v>278</v>
      </c>
      <c r="D38" s="104" t="s">
        <v>3</v>
      </c>
      <c r="E38" s="104">
        <v>16</v>
      </c>
      <c r="F38" s="218"/>
      <c r="G38" s="237"/>
      <c r="H38" s="191"/>
      <c r="I38" s="197"/>
      <c r="J38" s="197"/>
      <c r="K38" s="197"/>
    </row>
    <row r="39" spans="2:17" ht="82" customHeight="1" x14ac:dyDescent="0.2">
      <c r="B39" s="209">
        <v>25</v>
      </c>
      <c r="C39" s="220" t="s">
        <v>233</v>
      </c>
      <c r="D39" s="104" t="s">
        <v>3</v>
      </c>
      <c r="E39" s="104">
        <v>16</v>
      </c>
      <c r="F39" s="218"/>
      <c r="G39" s="237"/>
      <c r="H39" s="191"/>
      <c r="I39" s="192"/>
      <c r="J39" s="193"/>
      <c r="K39" s="194"/>
      <c r="L39" s="195"/>
      <c r="M39" s="195"/>
      <c r="N39" s="195"/>
      <c r="O39" s="195"/>
      <c r="P39" s="195"/>
      <c r="Q39" s="195"/>
    </row>
    <row r="40" spans="2:17" ht="110" customHeight="1" x14ac:dyDescent="0.2">
      <c r="B40" s="209">
        <v>26</v>
      </c>
      <c r="C40" s="220" t="s">
        <v>234</v>
      </c>
      <c r="D40" s="104" t="s">
        <v>10</v>
      </c>
      <c r="E40" s="104">
        <v>171</v>
      </c>
      <c r="F40" s="218"/>
      <c r="G40" s="237"/>
      <c r="H40" s="191"/>
      <c r="I40" s="192"/>
      <c r="J40" s="193"/>
      <c r="K40" s="194"/>
      <c r="L40" s="195"/>
      <c r="M40" s="195"/>
      <c r="N40" s="195"/>
      <c r="O40" s="195"/>
      <c r="P40" s="195"/>
      <c r="Q40" s="195"/>
    </row>
    <row r="41" spans="2:17" ht="45" customHeight="1" x14ac:dyDescent="0.2">
      <c r="B41" s="209">
        <v>27</v>
      </c>
      <c r="C41" s="223" t="s">
        <v>235</v>
      </c>
      <c r="D41" s="104" t="s">
        <v>3</v>
      </c>
      <c r="E41" s="104">
        <v>5</v>
      </c>
      <c r="F41" s="218"/>
      <c r="G41" s="237"/>
      <c r="H41" s="191"/>
      <c r="I41" s="192"/>
      <c r="J41" s="193"/>
      <c r="K41" s="194"/>
      <c r="L41" s="195"/>
      <c r="M41" s="195"/>
      <c r="N41" s="195"/>
      <c r="O41" s="195"/>
      <c r="P41" s="195"/>
      <c r="Q41" s="195"/>
    </row>
    <row r="42" spans="2:17" ht="57.75" customHeight="1" x14ac:dyDescent="0.2">
      <c r="B42" s="209">
        <v>28</v>
      </c>
      <c r="C42" s="220" t="s">
        <v>236</v>
      </c>
      <c r="D42" s="104" t="s">
        <v>3</v>
      </c>
      <c r="E42" s="104">
        <v>30</v>
      </c>
      <c r="F42" s="218"/>
      <c r="G42" s="237"/>
      <c r="H42" s="191"/>
      <c r="I42" s="192"/>
      <c r="J42" s="193"/>
      <c r="K42" s="194"/>
      <c r="L42" s="195"/>
      <c r="M42" s="195"/>
      <c r="N42" s="195"/>
      <c r="O42" s="195"/>
      <c r="P42" s="195"/>
      <c r="Q42" s="195"/>
    </row>
    <row r="43" spans="2:17" ht="59" customHeight="1" x14ac:dyDescent="0.2">
      <c r="B43" s="209">
        <v>29</v>
      </c>
      <c r="C43" s="223" t="s">
        <v>237</v>
      </c>
      <c r="D43" s="104" t="s">
        <v>3</v>
      </c>
      <c r="E43" s="104">
        <v>20</v>
      </c>
      <c r="F43" s="218"/>
      <c r="G43" s="237"/>
      <c r="H43" s="191"/>
      <c r="I43" s="192"/>
      <c r="J43" s="193"/>
      <c r="K43" s="194"/>
      <c r="L43" s="195"/>
      <c r="M43" s="195"/>
      <c r="N43" s="195"/>
      <c r="O43" s="195"/>
      <c r="P43" s="195"/>
      <c r="Q43" s="195"/>
    </row>
    <row r="44" spans="2:17" ht="21" customHeight="1" x14ac:dyDescent="0.2">
      <c r="B44" s="243"/>
      <c r="C44" s="245" t="s">
        <v>271</v>
      </c>
      <c r="D44" s="272"/>
      <c r="E44" s="273"/>
      <c r="F44" s="274"/>
      <c r="G44" s="244"/>
      <c r="H44" s="191"/>
      <c r="I44" s="197"/>
      <c r="J44" s="197"/>
      <c r="K44" s="197"/>
      <c r="M44" s="198"/>
      <c r="N44" s="194"/>
    </row>
    <row r="45" spans="2:17" ht="13.5" customHeight="1" x14ac:dyDescent="0.2">
      <c r="B45" s="239"/>
      <c r="C45" s="240"/>
      <c r="D45" s="241"/>
      <c r="E45" s="307"/>
      <c r="F45" s="307"/>
      <c r="G45" s="242"/>
      <c r="H45" s="191"/>
      <c r="I45" s="197"/>
      <c r="J45" s="197"/>
      <c r="K45" s="197"/>
    </row>
    <row r="46" spans="2:17" ht="47" customHeight="1" x14ac:dyDescent="0.2">
      <c r="B46" s="233" t="s">
        <v>238</v>
      </c>
      <c r="C46" s="228" t="s">
        <v>277</v>
      </c>
      <c r="D46" s="269"/>
      <c r="E46" s="270"/>
      <c r="F46" s="271"/>
      <c r="G46" s="230"/>
      <c r="H46" s="191"/>
      <c r="I46" s="197"/>
      <c r="J46" s="197"/>
      <c r="K46" s="197"/>
    </row>
    <row r="47" spans="2:17" ht="15" customHeight="1" x14ac:dyDescent="0.2">
      <c r="B47" s="199"/>
      <c r="C47" s="199"/>
      <c r="F47" s="199"/>
      <c r="G47" s="231"/>
      <c r="H47" s="191"/>
      <c r="I47" s="197"/>
      <c r="J47" s="197"/>
      <c r="K47" s="197"/>
    </row>
    <row r="48" spans="2:17" ht="28" customHeight="1" x14ac:dyDescent="0.2">
      <c r="B48" s="303" t="s">
        <v>239</v>
      </c>
      <c r="C48" s="304"/>
      <c r="D48" s="304"/>
      <c r="E48" s="304"/>
      <c r="F48" s="305"/>
      <c r="G48" s="230"/>
      <c r="H48" s="191"/>
      <c r="I48" s="200"/>
      <c r="J48" s="200"/>
      <c r="K48" s="200"/>
    </row>
    <row r="49" spans="2:11" ht="13" customHeight="1" thickBot="1" x14ac:dyDescent="0.25">
      <c r="H49" s="190"/>
      <c r="I49" s="190"/>
      <c r="J49" s="190"/>
      <c r="K49" s="190"/>
    </row>
    <row r="50" spans="2:11" ht="40" customHeight="1" thickBot="1" x14ac:dyDescent="0.25">
      <c r="B50" s="308" t="s">
        <v>270</v>
      </c>
      <c r="C50" s="309"/>
      <c r="D50" s="309"/>
      <c r="E50" s="309"/>
      <c r="F50" s="309"/>
      <c r="G50" s="310"/>
      <c r="H50" s="190"/>
      <c r="I50" s="190"/>
      <c r="J50" s="190"/>
      <c r="K50" s="190"/>
    </row>
    <row r="51" spans="2:11" ht="13" customHeight="1" thickBot="1" x14ac:dyDescent="0.25">
      <c r="H51" s="190"/>
      <c r="I51" s="190"/>
      <c r="J51" s="190"/>
      <c r="K51" s="190"/>
    </row>
    <row r="52" spans="2:11" ht="227" customHeight="1" thickBot="1" x14ac:dyDescent="0.25">
      <c r="B52" s="277" t="s">
        <v>269</v>
      </c>
      <c r="C52" s="278"/>
      <c r="D52" s="278"/>
      <c r="E52" s="278"/>
      <c r="F52" s="278"/>
      <c r="G52" s="279"/>
      <c r="H52" s="191"/>
      <c r="I52" s="200"/>
      <c r="J52" s="200"/>
      <c r="K52" s="201"/>
    </row>
    <row r="53" spans="2:11" s="195" customFormat="1" x14ac:dyDescent="0.2">
      <c r="B53" s="238"/>
      <c r="C53" s="238"/>
      <c r="D53" s="238"/>
      <c r="E53" s="238"/>
      <c r="F53" s="238"/>
      <c r="G53" s="238"/>
      <c r="H53" s="191"/>
      <c r="I53" s="200"/>
      <c r="J53" s="200"/>
      <c r="K53" s="202"/>
    </row>
    <row r="54" spans="2:11" ht="15" customHeight="1" x14ac:dyDescent="0.2">
      <c r="H54" s="201"/>
      <c r="I54" s="200"/>
      <c r="J54" s="200"/>
      <c r="K54" s="202"/>
    </row>
    <row r="55" spans="2:11" ht="39" customHeight="1" x14ac:dyDescent="0.2">
      <c r="H55" s="202"/>
      <c r="I55" s="200"/>
      <c r="J55" s="200"/>
      <c r="K55" s="200"/>
    </row>
    <row r="56" spans="2:11" ht="15" customHeight="1" x14ac:dyDescent="0.2">
      <c r="H56" s="202"/>
      <c r="I56" s="200"/>
      <c r="J56" s="200"/>
      <c r="K56" s="200"/>
    </row>
    <row r="57" spans="2:11" x14ac:dyDescent="0.2">
      <c r="H57" s="200"/>
      <c r="I57" s="200"/>
      <c r="J57" s="200"/>
      <c r="K57" s="203"/>
    </row>
    <row r="58" spans="2:11" x14ac:dyDescent="0.2">
      <c r="H58" s="200"/>
      <c r="I58" s="200"/>
      <c r="J58" s="200"/>
      <c r="K58" s="200"/>
    </row>
    <row r="59" spans="2:11" x14ac:dyDescent="0.2">
      <c r="H59" s="200"/>
      <c r="I59" s="200"/>
      <c r="J59" s="200"/>
      <c r="K59" s="201"/>
    </row>
    <row r="60" spans="2:11" x14ac:dyDescent="0.2">
      <c r="H60" s="200"/>
      <c r="I60" s="200"/>
      <c r="J60" s="200"/>
      <c r="K60" s="200"/>
    </row>
    <row r="61" spans="2:11" ht="15" customHeight="1" x14ac:dyDescent="0.2">
      <c r="H61" s="201"/>
      <c r="I61" s="200"/>
      <c r="J61" s="200"/>
      <c r="K61" s="200"/>
    </row>
    <row r="62" spans="2:11" ht="15" customHeight="1" x14ac:dyDescent="0.2">
      <c r="H62" s="200"/>
      <c r="I62" s="200"/>
      <c r="J62" s="200"/>
      <c r="K62" s="200"/>
    </row>
    <row r="63" spans="2:11" ht="15" customHeight="1" x14ac:dyDescent="0.2">
      <c r="H63" s="200"/>
      <c r="I63" s="200"/>
      <c r="J63" s="200"/>
      <c r="K63" s="200"/>
    </row>
    <row r="64" spans="2:11" ht="15" customHeight="1" x14ac:dyDescent="0.2">
      <c r="H64" s="200"/>
      <c r="I64" s="200"/>
      <c r="J64" s="200"/>
      <c r="K64" s="201"/>
    </row>
    <row r="65" spans="8:11" ht="15" customHeight="1" x14ac:dyDescent="0.2">
      <c r="H65" s="200"/>
      <c r="I65" s="200"/>
      <c r="J65" s="200"/>
      <c r="K65" s="202"/>
    </row>
    <row r="66" spans="8:11" ht="24.75" customHeight="1" x14ac:dyDescent="0.2">
      <c r="H66" s="201"/>
      <c r="I66" s="200"/>
      <c r="J66" s="200"/>
      <c r="K66" s="202"/>
    </row>
    <row r="67" spans="8:11" ht="39" customHeight="1" x14ac:dyDescent="0.2">
      <c r="H67" s="202"/>
      <c r="I67" s="200"/>
      <c r="J67" s="200"/>
      <c r="K67" s="200"/>
    </row>
    <row r="68" spans="8:11" ht="15" customHeight="1" x14ac:dyDescent="0.2">
      <c r="H68" s="202"/>
      <c r="I68" s="200"/>
      <c r="J68" s="200"/>
      <c r="K68" s="200"/>
    </row>
    <row r="69" spans="8:11" x14ac:dyDescent="0.2">
      <c r="H69" s="200"/>
      <c r="I69" s="200"/>
      <c r="J69" s="200"/>
      <c r="K69" s="203"/>
    </row>
    <row r="70" spans="8:11" x14ac:dyDescent="0.2">
      <c r="H70" s="200"/>
      <c r="I70" s="200"/>
      <c r="J70" s="200"/>
      <c r="K70" s="200"/>
    </row>
    <row r="71" spans="8:11" x14ac:dyDescent="0.2">
      <c r="H71" s="200"/>
      <c r="I71" s="201"/>
      <c r="J71" s="200"/>
      <c r="K71" s="201"/>
    </row>
    <row r="72" spans="8:11" x14ac:dyDescent="0.2">
      <c r="H72" s="200"/>
      <c r="I72" s="200"/>
      <c r="J72" s="200"/>
      <c r="K72" s="200"/>
    </row>
    <row r="73" spans="8:11" ht="15" customHeight="1" x14ac:dyDescent="0.2">
      <c r="H73" s="201"/>
      <c r="I73" s="200"/>
      <c r="J73" s="200"/>
      <c r="K73" s="200"/>
    </row>
    <row r="74" spans="8:11" ht="15" customHeight="1" x14ac:dyDescent="0.2">
      <c r="H74" s="204"/>
      <c r="I74" s="200"/>
      <c r="J74" s="200"/>
      <c r="K74" s="200"/>
    </row>
    <row r="75" spans="8:11" ht="15" customHeight="1" x14ac:dyDescent="0.2">
      <c r="H75" s="200"/>
      <c r="I75" s="200"/>
      <c r="J75" s="200"/>
      <c r="K75" s="200"/>
    </row>
    <row r="76" spans="8:11" ht="15" customHeight="1" x14ac:dyDescent="0.2">
      <c r="H76" s="200"/>
      <c r="J76" s="201"/>
      <c r="K76" s="201"/>
    </row>
    <row r="77" spans="8:11" ht="15" customHeight="1" x14ac:dyDescent="0.2">
      <c r="H77" s="200"/>
      <c r="I77" s="201"/>
      <c r="J77" s="201"/>
      <c r="K77" s="201"/>
    </row>
    <row r="78" spans="8:11" ht="15" customHeight="1" x14ac:dyDescent="0.2">
      <c r="H78" s="201"/>
      <c r="I78" s="205"/>
      <c r="J78" s="205"/>
      <c r="K78" s="205"/>
    </row>
    <row r="79" spans="8:11" x14ac:dyDescent="0.2">
      <c r="H79" s="201"/>
    </row>
    <row r="80" spans="8:11" x14ac:dyDescent="0.2">
      <c r="H80" s="205"/>
      <c r="I80" s="206"/>
      <c r="J80" s="206"/>
      <c r="K80" s="206"/>
    </row>
    <row r="82" spans="8:8" x14ac:dyDescent="0.2">
      <c r="H82" s="206"/>
    </row>
  </sheetData>
  <protectedRanges>
    <protectedRange sqref="G10:G11 H10 I14:J18 I22:J25 I32:J35 I39:J43" name="Rango1"/>
    <protectedRange sqref="F15:F43" name="Rango4_1"/>
  </protectedRanges>
  <mergeCells count="16">
    <mergeCell ref="D46:F46"/>
    <mergeCell ref="D44:F44"/>
    <mergeCell ref="M31:N31"/>
    <mergeCell ref="B2:G2"/>
    <mergeCell ref="B52:G52"/>
    <mergeCell ref="B3:G3"/>
    <mergeCell ref="B11:F11"/>
    <mergeCell ref="B4:G5"/>
    <mergeCell ref="B6:G7"/>
    <mergeCell ref="B8:F8"/>
    <mergeCell ref="C9:F9"/>
    <mergeCell ref="B10:F10"/>
    <mergeCell ref="B48:F48"/>
    <mergeCell ref="B12:G12"/>
    <mergeCell ref="E45:F45"/>
    <mergeCell ref="B50:G50"/>
  </mergeCells>
  <pageMargins left="0.70866141732283472" right="0.70866141732283472" top="0.74803149606299213" bottom="0.74803149606299213" header="0.31496062992125984" footer="0.31496062992125984"/>
  <pageSetup scale="1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8"/>
  <sheetViews>
    <sheetView workbookViewId="0">
      <selection activeCell="E6" sqref="E6"/>
    </sheetView>
  </sheetViews>
  <sheetFormatPr baseColWidth="10" defaultColWidth="11.5" defaultRowHeight="15" x14ac:dyDescent="0.2"/>
  <cols>
    <col min="1" max="1" width="6.1640625" customWidth="1"/>
    <col min="2" max="2" width="33.1640625" customWidth="1"/>
    <col min="3" max="3" width="23.5" customWidth="1"/>
    <col min="4" max="4" width="17.83203125" customWidth="1"/>
    <col min="5" max="5" width="18.33203125" customWidth="1"/>
    <col min="8" max="8" width="13.1640625" bestFit="1" customWidth="1"/>
  </cols>
  <sheetData>
    <row r="2" spans="1:7" ht="24.75" customHeight="1" x14ac:dyDescent="0.2">
      <c r="A2" s="311" t="s">
        <v>240</v>
      </c>
      <c r="B2" s="311"/>
      <c r="C2" s="311"/>
      <c r="D2" s="311"/>
      <c r="E2" s="311"/>
    </row>
    <row r="3" spans="1:7" ht="48.75" customHeight="1" x14ac:dyDescent="0.2">
      <c r="A3" s="311"/>
      <c r="B3" s="311"/>
      <c r="C3" s="311"/>
      <c r="D3" s="311"/>
      <c r="E3" s="311"/>
    </row>
    <row r="5" spans="1:7" ht="43.5" customHeight="1" x14ac:dyDescent="0.2">
      <c r="A5" s="208" t="s">
        <v>187</v>
      </c>
      <c r="B5" s="208" t="s">
        <v>188</v>
      </c>
      <c r="C5" s="208" t="s">
        <v>241</v>
      </c>
      <c r="D5" s="208" t="s">
        <v>242</v>
      </c>
      <c r="E5" s="208" t="s">
        <v>243</v>
      </c>
    </row>
    <row r="6" spans="1:7" ht="59.25" customHeight="1" x14ac:dyDescent="0.2">
      <c r="A6" s="209" t="s">
        <v>168</v>
      </c>
      <c r="B6" s="210" t="s">
        <v>244</v>
      </c>
      <c r="C6" s="106"/>
      <c r="D6" s="106"/>
      <c r="E6" s="106"/>
    </row>
    <row r="7" spans="1:7" ht="51" customHeight="1" x14ac:dyDescent="0.2">
      <c r="A7" s="209" t="s">
        <v>245</v>
      </c>
      <c r="B7" s="210" t="s">
        <v>246</v>
      </c>
      <c r="C7" s="211"/>
      <c r="D7" s="106"/>
      <c r="E7" s="106"/>
    </row>
    <row r="8" spans="1:7" ht="29.25" customHeight="1" x14ac:dyDescent="0.2">
      <c r="A8" s="212" t="s">
        <v>247</v>
      </c>
      <c r="B8" s="312" t="s">
        <v>248</v>
      </c>
      <c r="C8" s="313"/>
      <c r="D8" s="314"/>
      <c r="E8" s="213"/>
      <c r="G8" s="111"/>
    </row>
  </sheetData>
  <protectedRanges>
    <protectedRange sqref="C6:C7" name="Rango1"/>
  </protectedRanges>
  <mergeCells count="2">
    <mergeCell ref="A2:E3"/>
    <mergeCell ref="B8:D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D10" sqref="D10"/>
    </sheetView>
  </sheetViews>
  <sheetFormatPr baseColWidth="10" defaultColWidth="11.5" defaultRowHeight="15" x14ac:dyDescent="0.2"/>
  <cols>
    <col min="1" max="1" width="51.1640625" customWidth="1"/>
    <col min="2" max="2" width="27" customWidth="1"/>
    <col min="3" max="3" width="16.5" bestFit="1" customWidth="1"/>
    <col min="4" max="4" width="17" customWidth="1"/>
    <col min="5" max="5" width="15.5" customWidth="1"/>
    <col min="6" max="6" width="16.33203125" customWidth="1"/>
  </cols>
  <sheetData>
    <row r="1" spans="1:6" x14ac:dyDescent="0.2">
      <c r="A1" s="208" t="s">
        <v>2</v>
      </c>
      <c r="B1" s="208" t="s">
        <v>249</v>
      </c>
    </row>
    <row r="2" spans="1:6" x14ac:dyDescent="0.2">
      <c r="A2" s="209" t="s">
        <v>250</v>
      </c>
      <c r="B2" s="211">
        <v>1069148147</v>
      </c>
    </row>
    <row r="3" spans="1:6" x14ac:dyDescent="0.2">
      <c r="A3" s="209" t="s">
        <v>251</v>
      </c>
      <c r="B3" s="211">
        <v>126206000</v>
      </c>
    </row>
    <row r="4" spans="1:6" x14ac:dyDescent="0.2">
      <c r="A4" s="209" t="s">
        <v>252</v>
      </c>
      <c r="B4" s="216">
        <f>+B2+B3</f>
        <v>1195354147</v>
      </c>
    </row>
    <row r="6" spans="1:6" ht="24" customHeight="1" x14ac:dyDescent="0.2">
      <c r="A6" s="208" t="s">
        <v>253</v>
      </c>
      <c r="B6" s="208" t="s">
        <v>254</v>
      </c>
      <c r="C6" s="208" t="s">
        <v>255</v>
      </c>
    </row>
    <row r="7" spans="1:6" ht="26" x14ac:dyDescent="0.2">
      <c r="A7" s="209" t="s">
        <v>256</v>
      </c>
      <c r="B7" s="215">
        <v>893893675</v>
      </c>
      <c r="C7" s="215">
        <v>893893675.20000005</v>
      </c>
    </row>
    <row r="8" spans="1:6" x14ac:dyDescent="0.2">
      <c r="A8" s="209" t="s">
        <v>257</v>
      </c>
      <c r="B8" s="211">
        <v>234694428</v>
      </c>
      <c r="C8" s="211">
        <v>234694428</v>
      </c>
    </row>
    <row r="9" spans="1:6" ht="26" x14ac:dyDescent="0.2">
      <c r="A9" s="209" t="s">
        <v>258</v>
      </c>
      <c r="B9" s="211">
        <v>66766044</v>
      </c>
      <c r="C9" s="211">
        <v>84634756</v>
      </c>
    </row>
    <row r="10" spans="1:6" x14ac:dyDescent="0.2">
      <c r="A10" s="209" t="s">
        <v>259</v>
      </c>
      <c r="B10" s="216">
        <f>+B7+B8+B9</f>
        <v>1195354147</v>
      </c>
      <c r="C10" s="214"/>
      <c r="D10" s="214"/>
    </row>
    <row r="14" spans="1:6" x14ac:dyDescent="0.2">
      <c r="A14" s="315" t="s">
        <v>2</v>
      </c>
      <c r="B14" s="315" t="s">
        <v>260</v>
      </c>
      <c r="C14" s="315" t="s">
        <v>261</v>
      </c>
      <c r="D14" s="315"/>
      <c r="E14" s="315"/>
      <c r="F14" s="315" t="s">
        <v>262</v>
      </c>
    </row>
    <row r="15" spans="1:6" ht="44.25" customHeight="1" x14ac:dyDescent="0.2">
      <c r="A15" s="315"/>
      <c r="B15" s="315"/>
      <c r="C15" s="217" t="s">
        <v>263</v>
      </c>
      <c r="D15" s="217" t="s">
        <v>264</v>
      </c>
      <c r="E15" s="217" t="s">
        <v>265</v>
      </c>
      <c r="F15" s="315"/>
    </row>
    <row r="16" spans="1:6" x14ac:dyDescent="0.2">
      <c r="A16" s="209" t="s">
        <v>250</v>
      </c>
      <c r="B16" s="106">
        <v>1069148147</v>
      </c>
      <c r="C16" s="106">
        <v>234694428</v>
      </c>
      <c r="D16" s="106">
        <v>834453719</v>
      </c>
      <c r="E16" s="106"/>
      <c r="F16" s="106">
        <f>+C16+D16+E16</f>
        <v>1069148147</v>
      </c>
    </row>
    <row r="17" spans="1:6" x14ac:dyDescent="0.2">
      <c r="A17" s="209" t="s">
        <v>266</v>
      </c>
      <c r="B17" s="106">
        <v>126206000</v>
      </c>
      <c r="C17" s="106"/>
      <c r="D17" s="106">
        <v>59439956</v>
      </c>
      <c r="E17" s="106">
        <v>66766044</v>
      </c>
      <c r="F17" s="106">
        <f>+C17+D17+E17</f>
        <v>126206000</v>
      </c>
    </row>
    <row r="18" spans="1:6" x14ac:dyDescent="0.2">
      <c r="A18" s="208" t="s">
        <v>267</v>
      </c>
      <c r="B18" s="217">
        <v>1195354147</v>
      </c>
      <c r="C18" s="217">
        <f>SUM(C16:C17)</f>
        <v>234694428</v>
      </c>
      <c r="D18" s="217">
        <f t="shared" ref="D18:F18" si="0">SUM(D16:D17)</f>
        <v>893893675</v>
      </c>
      <c r="E18" s="217">
        <f t="shared" si="0"/>
        <v>66766044</v>
      </c>
      <c r="F18" s="217">
        <f t="shared" si="0"/>
        <v>1195354147</v>
      </c>
    </row>
  </sheetData>
  <protectedRanges>
    <protectedRange sqref="B7:C9" name="Rango1"/>
  </protectedRanges>
  <mergeCells count="4">
    <mergeCell ref="A14:A15"/>
    <mergeCell ref="B14:B15"/>
    <mergeCell ref="C14:E14"/>
    <mergeCell ref="F14:F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plazoleta ELV</vt:lpstr>
      <vt:lpstr>parqueadero ELV</vt:lpstr>
      <vt:lpstr>REV ELV</vt:lpstr>
      <vt:lpstr>Hoja1 luz</vt:lpstr>
      <vt:lpstr>Hoja2</vt:lpstr>
      <vt:lpstr>FORMATO 4 OBRA</vt:lpstr>
      <vt:lpstr>FORMAT 4 INTERV.</vt:lpstr>
      <vt:lpstr>Hoja1</vt:lpstr>
      <vt:lpstr>'FORMATO 4 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SANJUAN DURAN</dc:creator>
  <cp:keywords/>
  <dc:description/>
  <cp:lastModifiedBy>Microsoft Office User</cp:lastModifiedBy>
  <cp:revision/>
  <dcterms:created xsi:type="dcterms:W3CDTF">2019-10-07T15:03:41Z</dcterms:created>
  <dcterms:modified xsi:type="dcterms:W3CDTF">2022-03-23T22:11:34Z</dcterms:modified>
  <cp:category/>
  <cp:contentStatus/>
</cp:coreProperties>
</file>